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5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4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3"/>
  </bookViews>
  <sheets>
    <sheet name="Driver Assumptions" sheetId="17" r:id="rId1"/>
    <sheet name="Model" sheetId="18" r:id="rId2"/>
    <sheet name="LBO Output" sheetId="19" r:id="rId3"/>
    <sheet name="Sensitivity Output" sheetId="24" r:id="rId4"/>
    <sheet name="Sensitivities" sheetId="25" r:id="rId5"/>
    <sheet name="From Company&gt;&gt;&gt;" sheetId="20" r:id="rId6"/>
    <sheet name="Income Statement" sheetId="21" r:id="rId7"/>
    <sheet name="Balance Sheet" sheetId="22" r:id="rId8"/>
    <sheet name="Cash Flow" sheetId="23" r:id="rId9"/>
  </sheets>
  <definedNames>
    <definedName name="_xlnm.Print_Area" localSheetId="3">'Sensitivity Output'!$B$2:$S$31</definedName>
  </definedNames>
  <calcPr iterate="1" iterateCount="1000" iterateDelta="0.00001"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E101" authorId="0">
      <text>
        <r>
          <t xml:space="preserve">Cited for E101:E102
CWAN 10-K FY2025 (filed 2026-02-18) p. 138</t>
        </r>
      </text>
    </comment>
    <comment ref="E108" authorId="0">
      <text>
        <r>
          <t xml:space="preserve">Cited for E108:E109
CWAN 10-K FY2025 (filed 2026-02-18) p. 127</t>
        </r>
      </text>
    </comment>
    <comment ref="E57" authorId="0">
      <text>
        <r>
          <t xml:space="preserve">CWAN DEFM14A Definitive Merger Proxy (filed 2026-04-08) p. 79</t>
        </r>
      </text>
    </comment>
    <comment ref="E70" authorId="0">
      <text>
        <r>
          <t xml:space="preserve">Cited for E70:E71
CWAN 10-K FY2025 (filed 2026-02-18) p. 125</t>
        </r>
      </text>
    </comment>
    <comment ref="E74" authorId="0">
      <text>
        <r>
          <t xml:space="preserve">Cited for E74:E75
CWAN 10-K FY2025 (filed 2026-02-18) p. 71</t>
        </r>
      </text>
    </comment>
    <comment ref="E77" authorId="0">
      <text>
        <r>
          <t xml:space="preserve">CWAN 10-K FY2025 (filed 2026-02-18) p. 71</t>
        </r>
      </text>
    </comment>
    <comment ref="E79" authorId="0">
      <text>
        <r>
          <t xml:space="preserve">CWAN 10-K FY2025 (filed 2026-02-18) p. 71</t>
        </r>
      </text>
    </comment>
    <comment ref="E83" authorId="0">
      <text>
        <r>
          <t xml:space="preserve">CWAN 10-K FY2025 (filed 2026-02-18) p. 72</t>
        </r>
      </text>
    </comment>
    <comment ref="E94" authorId="0">
      <text>
        <r>
          <t xml:space="preserve">CWAN Investor Presentation - Enfusion Acquisition (2025-01-13) p. 2</t>
        </r>
      </text>
    </comment>
    <comment ref="J51" authorId="0">
      <text>
        <r>
          <t xml:space="preserve">Cited for E51:J51
CWAN DEFM14A Definitive Merger Proxy (filed 2026-04-08) p. 81</t>
        </r>
      </text>
    </comment>
    <comment ref="J53" authorId="0">
      <text>
        <r>
          <t xml:space="preserve">Cited for E53:J53
CWAN DEFM14A Definitive Merger Proxy (filed 2026-04-08) p. 81</t>
        </r>
      </text>
    </comment>
    <comment ref="J55" authorId="0">
      <text>
        <r>
          <t xml:space="preserve">Cited for E55:J55
CWAN DEFM14A Definitive Merger Proxy (filed 2026-04-08) p. 79</t>
        </r>
      </text>
    </comment>
    <comment ref="J56" authorId="0">
      <text>
        <r>
          <t xml:space="preserve">Cited for F56:J56
CWAN DEFM14A Definitive Merger Proxy (filed 2026-04-08) p. 79</t>
        </r>
      </text>
    </comment>
    <comment ref="J57" authorId="0">
      <text>
        <r>
          <t xml:space="preserve">CWAN DEFM14A Definitive Merger Proxy (filed 2026-04-08) p. 79</t>
        </r>
      </text>
    </comment>
    <comment ref="J58" authorId="0">
      <text>
        <r>
          <t xml:space="preserve">Cited for F58:J58
CWAN DEFM14A Definitive Merger Proxy (filed 2026-04-08) p. 79</t>
        </r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D16" authorId="0">
      <text>
        <r>
          <t xml:space="preserve">CWAN Amended and Restated Debt Commitment Letter and Term Sheet (2026-01-21) p. 44</t>
        </r>
      </text>
    </comment>
    <comment ref="D18" authorId="0">
      <text>
        <r>
          <t xml:space="preserve">CWAN DEFM14A Definitive Merger Proxy (filed 2026-04-08) p. 110</t>
        </r>
      </text>
    </comment>
    <comment ref="E10" authorId="0">
      <text>
        <r>
          <t xml:space="preserve">CWAN DEFM14A Definitive Merger Proxy (filed 2026-04-08) p. 118</t>
        </r>
      </text>
    </comment>
    <comment ref="E11" authorId="0">
      <text>
        <r>
          <t xml:space="preserve">CWAN DEFM14A Definitive Merger Proxy (filed 2026-04-08) p. 118</t>
        </r>
      </text>
    </comment>
    <comment ref="E16" authorId="0">
      <text>
        <r>
          <t xml:space="preserve">Cited for E16:E18
CWAN DEFM14A Definitive Merger Proxy (filed 2026-04-08) p. 107</t>
        </r>
      </text>
    </comment>
    <comment ref="E22" authorId="0">
      <text>
        <r>
          <t xml:space="preserve">CWAN 10-Q FY2026 Q1 (filed 2026-05-07) p. 44</t>
        </r>
      </text>
    </comment>
    <comment ref="E23" authorId="0">
      <text>
        <r>
          <t xml:space="preserve">CWAN 10-Q FY2026 Q1 (filed 2026-05-07) p. 24</t>
        </r>
      </text>
    </comment>
    <comment ref="E24" authorId="0">
      <text>
        <r>
          <t xml:space="preserve">Cited for E24:E25
CWAN Amended and Restated Debt Commitment Letter and Term Sheet (2026-01-21) p. 43</t>
        </r>
      </text>
    </comment>
    <comment ref="E26" authorId="0">
      <text>
        <r>
          <t xml:space="preserve">CWAN DEFM14A Definitive Merger Proxy (filed 2026-04-08) p. 107</t>
        </r>
      </text>
    </comment>
    <comment ref="E4" authorId="0">
      <text>
        <r>
          <t xml:space="preserve">CWAN 8-K Merger Closing (2026-06-25) p. 2</t>
        </r>
      </text>
    </comment>
    <comment ref="E5" authorId="0">
      <text>
        <r>
          <t xml:space="preserve">CWAN 8-K Merger Closing (2026-06-25) p. 2</t>
        </r>
      </text>
    </comment>
    <comment ref="E6" authorId="0">
      <text>
        <r>
          <t xml:space="preserve">CWAN DEFM14A Definitive Merger Proxy (filed 2026-04-08) p. 49</t>
        </r>
      </text>
    </comment>
    <comment ref="H16" authorId="0">
      <text>
        <r>
          <t xml:space="preserve">Cited for H16:H18
CWAN Amended and Restated Debt Commitment Letter and Term Sheet (2026-01-21) p. 43</t>
        </r>
      </text>
    </comment>
    <comment ref="I12" authorId="0">
      <text>
        <r>
          <t xml:space="preserve">CWAN 10-Q FY2026 Q1 (filed 2026-05-07) p. 8</t>
        </r>
      </text>
    </comment>
    <comment ref="I16" authorId="0">
      <text>
        <r>
          <t xml:space="preserve">Cited for I16:I18
CWAN Amended and Restated Debt Commitment Letter and Term Sheet (2026-01-21) p. 43</t>
        </r>
      </text>
    </comment>
    <comment ref="I21" authorId="0">
      <text>
        <r>
          <t xml:space="preserve">Cited for I21:I22
CWAN Amended and Restated Debt Commitment Letter and Term Sheet (2026-01-21) p. 43</t>
        </r>
      </text>
    </comment>
    <comment ref="I4" authorId="0">
      <text>
        <r>
          <t xml:space="preserve">CWAN DEFM14A Definitive Merger Proxy (filed 2026-04-08) p. 127</t>
        </r>
      </text>
    </comment>
    <comment ref="I7" authorId="0">
      <text>
        <r>
          <t xml:space="preserve">Cited for I7:I8
CWAN DEFM14A Definitive Merger Proxy (filed 2026-04-08) p. 79</t>
        </r>
      </text>
    </comment>
    <comment ref="K16" authorId="0">
      <text>
        <r>
          <t xml:space="preserve">Cited for J16:K18
CWAN DEFM14A Definitive Merger Proxy (filed 2026-04-08) p. 110</t>
        </r>
      </text>
    </comment>
    <comment ref="L30" authorId="0">
      <text>
        <r>
          <t xml:space="preserve">CWAN Equity Commitment Letter - Permira p. 16</t>
        </r>
      </text>
    </comment>
    <comment ref="L31" authorId="0">
      <text>
        <r>
          <t xml:space="preserve">CWAN Equity Commitment Letter - Warburg Pincus p. 16</t>
        </r>
      </text>
    </comment>
    <comment ref="L32" authorId="0">
      <text>
        <r>
          <t xml:space="preserve">CWAN Equity Commitment Letter - Francisco Partners p. 14</t>
        </r>
      </text>
    </comment>
    <comment ref="L33" authorId="0">
      <text>
        <r>
          <t xml:space="preserve">CWAN Equity Commitment Letter - Temasek (Robson) p. 13</t>
        </r>
      </text>
    </comment>
    <comment ref="M21" authorId="0">
      <text>
        <r>
          <t xml:space="preserve">Cited for M21:M26
CWAN Amended and Restated Debt Commitment Letter and Term Sheet (2026-01-21) p. 44</t>
        </r>
      </text>
    </comment>
    <comment ref="N37" authorId="0">
      <text>
        <r>
          <t xml:space="preserve">CWAN 8-K Merger Closing (2026-06-25) p. 4</t>
        </r>
      </text>
    </comment>
    <comment ref="O45" authorId="0">
      <text>
        <r>
          <t xml:space="preserve">Cited for O45:O46
CWAN 10-Q FY2026 Q1 (filed 2026-05-07) p. 2</t>
        </r>
      </text>
    </comment>
    <comment ref="P41" authorId="0">
      <text>
        <r>
          <t xml:space="preserve">CWAN 8-K Merger Closing (2026-06-25) p. 4</t>
        </r>
      </text>
    </comment>
    <comment ref="P43" authorId="0">
      <text>
        <r>
          <t xml:space="preserve">CWAN 8-K Merger Closing (2026-06-25) p. 4</t>
        </r>
      </text>
    </comment>
    <comment ref="U10" authorId="0">
      <text>
        <r>
          <t xml:space="preserve">SC 13E-3 exhibit (c)(ii), special committee fairness materials (2025-12-20) p. 4</t>
        </r>
      </text>
    </comment>
    <comment ref="U15" authorId="0">
      <text>
        <r>
          <t xml:space="preserve">Cited for U15:U16
CWAN 10-Q FY2026 Q1 (filed 2026-05-07) p. 25</t>
        </r>
      </text>
    </comment>
    <comment ref="U31" authorId="0">
      <text>
        <r>
          <t xml:space="preserve">Cited for U31:U32
CWAN 10-Q FY2026 Q1 (filed 2026-05-07) p. 29</t>
        </r>
      </text>
    </comment>
    <comment ref="U37" authorId="0">
      <text>
        <r>
          <t xml:space="preserve">CWAN 10-Q FY2026 Q1 (filed 2026-05-07) p. 29</t>
        </r>
      </text>
    </comment>
    <comment ref="U4" authorId="0">
      <text>
        <r>
          <t xml:space="preserve">Cited for U4:U5
CWAN DEFM14A Definitive Merger Proxy (filed 2026-04-08) p. 232</t>
        </r>
      </text>
    </comment>
    <comment ref="U6" authorId="0">
      <text>
        <r>
          <t xml:space="preserve">CWAN DEFM14A Definitive Merger Proxy (filed 2026-04-08) p. 232</t>
        </r>
      </text>
    </comment>
    <comment ref="U7" authorId="0">
      <text>
        <r>
          <t xml:space="preserve">CWAN DEFM14A Definitive Merger Proxy (filed 2026-04-08) p. 20</t>
        </r>
      </text>
    </comment>
    <comment ref="U8" authorId="0">
      <text>
        <r>
          <t xml:space="preserve">Cited for U8:U9
CWAN DEFM14A Definitive Merger Proxy (filed 2026-04-08) p. 232</t>
        </r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F26" authorId="0">
      <text>
        <r>
          <t xml:space="preserve">Cited for F26:F27
LBO model workbook (Model I204:I205)</t>
        </r>
      </text>
    </comment>
  </commentList>
</comments>
</file>

<file path=xl/comments7.xml><?xml version="1.0" encoding="utf-8"?>
<comments xmlns="http://schemas.openxmlformats.org/spreadsheetml/2006/main">
  <authors>
    <author>Compound</author>
  </authors>
  <commentList>
    <comment ref="B20" authorId="0">
      <text>
        <r>
          <t xml:space="preserve">Cited for 5 cells in B20:C22
CWAN 10-K FY2023 (filed 2024-02-29) p. 108</t>
        </r>
      </text>
    </comment>
    <comment ref="C10" authorId="0">
      <text>
        <r>
          <t xml:space="preserve">Cited for B10:C13
CWAN 10-K FY2023 (filed 2024-02-29) p. 108</t>
        </r>
      </text>
    </comment>
    <comment ref="C15" authorId="0">
      <text>
        <r>
          <t xml:space="preserve">Cited for B15:C15
CWAN 10-K FY2023 (filed 2024-02-29) p. 108</t>
        </r>
      </text>
    </comment>
    <comment ref="C18" authorId="0">
      <text>
        <r>
          <t xml:space="preserve">Cited for 3 cells in B18:C19
CWAN 10-K FY2023 (filed 2024-02-29) p. 108</t>
        </r>
      </text>
    </comment>
    <comment ref="C24" authorId="0">
      <text>
        <r>
          <t xml:space="preserve">Cited for B24:C26
CWAN 10-K FY2023 (filed 2024-02-29) p. 108</t>
        </r>
      </text>
    </comment>
    <comment ref="C27" authorId="0">
      <text>
        <r>
          <t xml:space="preserve">Cited for B27:C27
CWAN 10-K FY2023 (filed 2024-02-29) p. 108</t>
        </r>
      </text>
    </comment>
    <comment ref="C30" authorId="0">
      <text>
        <r>
          <t xml:space="preserve">Cited for B30:C30
CWAN 10-K FY2023 (filed 2024-02-29) p. 108</t>
        </r>
      </text>
    </comment>
    <comment ref="C31" authorId="0">
      <text>
        <r>
          <t xml:space="preserve">Cited for B31:C31
CWAN 10-K FY2023 (filed 2024-02-29) p. 115</t>
        </r>
      </text>
    </comment>
    <comment ref="C32" authorId="0">
      <text>
        <r>
          <t xml:space="preserve">Cited for B32:C32
CWAN 10-K FY2023 (filed 2024-02-29) p. 85</t>
        </r>
      </text>
    </comment>
    <comment ref="C6" authorId="0">
      <text>
        <r>
          <t xml:space="preserve">Cited for B6:C8
CWAN 10-K FY2023 (filed 2024-02-29) p. 108</t>
        </r>
      </text>
    </comment>
    <comment ref="E19" authorId="0">
      <text>
        <r>
          <t xml:space="preserve">Cited for D19:E19
CWAN 10-K FY2025 (filed 2026-02-18) p. 98</t>
        </r>
      </text>
    </comment>
    <comment ref="F10" authorId="0">
      <text>
        <r>
          <t xml:space="preserve">Cited for D10:F13
CWAN 10-K FY2025 (filed 2026-02-18) p. 98</t>
        </r>
      </text>
    </comment>
    <comment ref="F15" authorId="0">
      <text>
        <r>
          <t xml:space="preserve">Cited for D15:F15
CWAN 10-K FY2025 (filed 2026-02-18) p. 98</t>
        </r>
      </text>
    </comment>
    <comment ref="F17" authorId="0">
      <text>
        <r>
          <t xml:space="preserve">Cited for D17:F17
CWAN 10-K FY2025 (filed 2026-02-18) p. 98</t>
        </r>
      </text>
    </comment>
    <comment ref="F21" authorId="0">
      <text>
        <r>
          <t xml:space="preserve">Cited for D21:F22
CWAN 10-K FY2025 (filed 2026-02-18) p. 98</t>
        </r>
      </text>
    </comment>
    <comment ref="F24" authorId="0">
      <text>
        <r>
          <t xml:space="preserve">Cited for D24:F26
CWAN 10-K FY2025 (filed 2026-02-18) p. 98</t>
        </r>
      </text>
    </comment>
    <comment ref="F27" authorId="0">
      <text>
        <r>
          <t xml:space="preserve">Cited for D27:F27
CWAN 10-K FY2025 (filed 2026-02-18) p. 98</t>
        </r>
      </text>
    </comment>
    <comment ref="F30" authorId="0">
      <text>
        <r>
          <t xml:space="preserve">Cited for D30:F30
CWAN 10-K FY2025 (filed 2026-02-18) p. 98</t>
        </r>
      </text>
    </comment>
    <comment ref="F31" authorId="0">
      <text>
        <r>
          <t xml:space="preserve">Cited for D31:F31
CWAN 10-K FY2025 (filed 2026-02-18) p. 104</t>
        </r>
      </text>
    </comment>
    <comment ref="F32" authorId="0">
      <text>
        <r>
          <t xml:space="preserve">Cited for D32:F32
CWAN 10-K FY2025 (filed 2026-02-18) p. 73</t>
        </r>
      </text>
    </comment>
    <comment ref="F6" authorId="0">
      <text>
        <r>
          <t xml:space="preserve">Cited for D6:F8
CWAN 10-K FY2025 (filed 2026-02-18) p. 98</t>
        </r>
      </text>
    </comment>
    <comment ref="H10" authorId="0">
      <text>
        <r>
          <t xml:space="preserve">Cited for G10:H13
CWAN 10-Q FY2026 Q1 (filed 2026-05-07) p. 10</t>
        </r>
      </text>
    </comment>
    <comment ref="H15" authorId="0">
      <text>
        <r>
          <t xml:space="preserve">Cited for G15:H15
CWAN 10-Q FY2026 Q1 (filed 2026-05-07) p. 10</t>
        </r>
      </text>
    </comment>
    <comment ref="H17" authorId="0">
      <text>
        <r>
          <t xml:space="preserve">Cited for G17:H17
CWAN 10-Q FY2026 Q1 (filed 2026-05-07) p. 10</t>
        </r>
      </text>
    </comment>
    <comment ref="H21" authorId="0">
      <text>
        <r>
          <t xml:space="preserve">Cited for G21:H22
CWAN 10-Q FY2026 Q1 (filed 2026-05-07) p. 10</t>
        </r>
      </text>
    </comment>
    <comment ref="H24" authorId="0">
      <text>
        <r>
          <t xml:space="preserve">Cited for G24:H26
CWAN 10-Q FY2026 Q1 (filed 2026-05-07) p. 10</t>
        </r>
      </text>
    </comment>
    <comment ref="H27" authorId="0">
      <text>
        <r>
          <t xml:space="preserve">Cited for G27:H27
CWAN 10-Q FY2026 Q1 (filed 2026-05-07) p. 10</t>
        </r>
      </text>
    </comment>
    <comment ref="H30" authorId="0">
      <text>
        <r>
          <t xml:space="preserve">Cited for G30:H30
CWAN 10-Q FY2026 Q1 (filed 2026-05-07) p. 10</t>
        </r>
      </text>
    </comment>
    <comment ref="H31" authorId="0">
      <text>
        <r>
          <t xml:space="preserve">Cited for G31:H31
CWAN 10-Q FY2026 Q1 (filed 2026-05-07) p. 14</t>
        </r>
      </text>
    </comment>
    <comment ref="H32" authorId="0">
      <text>
        <r>
          <t xml:space="preserve">Cited for G32:H32
CWAN 10-Q FY2026 Q1 (filed 2026-05-07) p. 38</t>
        </r>
      </text>
    </comment>
    <comment ref="H6" authorId="0">
      <text>
        <r>
          <t xml:space="preserve">Cited for G6:H8
CWAN 10-Q FY2026 Q1 (filed 2026-05-07) p. 10</t>
        </r>
      </text>
    </comment>
  </commentList>
</comments>
</file>

<file path=xl/comments8.xml><?xml version="1.0" encoding="utf-8"?>
<comments xmlns="http://schemas.openxmlformats.org/spreadsheetml/2006/main">
  <authors>
    <author>Compound</author>
  </authors>
  <commentList>
    <comment ref="B12" authorId="0">
      <text>
        <r>
          <t xml:space="preserve">CWAN 10-K FY2022 (filed 2023-03-03) p. 84</t>
        </r>
      </text>
    </comment>
    <comment ref="B14" authorId="0">
      <text>
        <r>
          <t xml:space="preserve">Cited for B14:B15
CWAN 10-K FY2022 (filed 2023-03-03) p. 84</t>
        </r>
      </text>
    </comment>
    <comment ref="B17" authorId="0">
      <text>
        <r>
          <t xml:space="preserve">CWAN 10-K FY2022 (filed 2023-03-03) p. 84</t>
        </r>
      </text>
    </comment>
    <comment ref="B21" authorId="0">
      <text>
        <r>
          <t xml:space="preserve">CWAN 10-K FY2022 (filed 2023-03-03) p. 84</t>
        </r>
      </text>
    </comment>
    <comment ref="B23" authorId="0">
      <text>
        <r>
          <t xml:space="preserve">Cited for B23:B24
CWAN 10-K FY2022 (filed 2023-03-03) p. 84</t>
        </r>
      </text>
    </comment>
    <comment ref="B26" authorId="0">
      <text>
        <r>
          <t xml:space="preserve">CWAN 10-K FY2022 (filed 2023-03-03) p. 84</t>
        </r>
      </text>
    </comment>
    <comment ref="B29" authorId="0">
      <text>
        <r>
          <t xml:space="preserve">CWAN 10-K FY2022 (filed 2023-03-03) p. 84</t>
        </r>
      </text>
    </comment>
    <comment ref="B30" authorId="0">
      <text>
        <r>
          <t xml:space="preserve">CWAN 10-K FY2022 (filed 2023-03-03) p. 84</t>
        </r>
      </text>
    </comment>
    <comment ref="B32" authorId="0">
      <text>
        <r>
          <t xml:space="preserve">Cited for B32:B33
CWAN 10-K FY2022 (filed 2023-03-03) p. 84</t>
        </r>
      </text>
    </comment>
    <comment ref="B35" authorId="0">
      <text>
        <r>
          <t xml:space="preserve">Cited for B35:B37
CWAN 10-K FY2022 (filed 2023-03-03) p. 84</t>
        </r>
      </text>
    </comment>
    <comment ref="B38" authorId="0">
      <text>
        <r>
          <t xml:space="preserve">CWAN 10-K FY2022 (filed 2023-03-03) p. 84</t>
        </r>
      </text>
    </comment>
    <comment ref="B6" authorId="0">
      <text>
        <r>
          <t xml:space="preserve">CWAN 10-K FY2022 (filed 2023-03-03) p. 84</t>
        </r>
      </text>
    </comment>
    <comment ref="B8" authorId="0">
      <text>
        <r>
          <t xml:space="preserve">Cited for B8:B10
CWAN 10-K FY2022 (filed 2023-03-03) p. 84</t>
        </r>
      </text>
    </comment>
    <comment ref="D12" authorId="0">
      <text>
        <r>
          <t xml:space="preserve">Cited for C12:D15
CWAN 10-K FY2023 (filed 2024-02-29) p. 106</t>
        </r>
      </text>
    </comment>
    <comment ref="D17" authorId="0">
      <text>
        <r>
          <t xml:space="preserve">Cited for 9 cells in C17:D21
CWAN 10-K FY2023 (filed 2024-02-29) p. 106</t>
        </r>
      </text>
    </comment>
    <comment ref="D23" authorId="0">
      <text>
        <r>
          <t xml:space="preserve">Cited for C23:D24
CWAN 10-K FY2023 (filed 2024-02-29) p. 106</t>
        </r>
      </text>
    </comment>
    <comment ref="D26" authorId="0">
      <text>
        <r>
          <t xml:space="preserve">Cited for C26:D33
CWAN 10-K FY2023 (filed 2024-02-29) p. 106</t>
        </r>
      </text>
    </comment>
    <comment ref="D35" authorId="0">
      <text>
        <r>
          <t xml:space="preserve">Cited for C35:D37
CWAN 10-K FY2023 (filed 2024-02-29) p. 106</t>
        </r>
      </text>
    </comment>
    <comment ref="D38" authorId="0">
      <text>
        <r>
          <t xml:space="preserve">Cited for C38:D38
CWAN 10-K FY2023 (filed 2024-02-29) p. 106</t>
        </r>
      </text>
    </comment>
    <comment ref="D6" authorId="0">
      <text>
        <r>
          <t xml:space="preserve">Cited for C6:D10
CWAN 10-K FY2023 (filed 2024-02-29) p. 106</t>
        </r>
      </text>
    </comment>
    <comment ref="E33" authorId="0">
      <text>
        <r>
          <t xml:space="preserve">CWAN 10-K FY2025 (filed 2026-02-18) p. 96</t>
        </r>
      </text>
    </comment>
    <comment ref="F12" authorId="0">
      <text>
        <r>
          <t xml:space="preserve">Cited for 19 cells in E12:F21
CWAN 10-K FY2025 (filed 2026-02-18) p. 96</t>
        </r>
      </text>
    </comment>
    <comment ref="F23" authorId="0">
      <text>
        <r>
          <t xml:space="preserve">Cited for 20 cells in E23:F33
CWAN 10-K FY2025 (filed 2026-02-18) p. 96</t>
        </r>
      </text>
    </comment>
    <comment ref="F35" authorId="0">
      <text>
        <r>
          <t xml:space="preserve">Cited for E35:F37
CWAN 10-K FY2025 (filed 2026-02-18) p. 96</t>
        </r>
      </text>
    </comment>
    <comment ref="F38" authorId="0">
      <text>
        <r>
          <t xml:space="preserve">Cited for E38:F38
CWAN 10-K FY2025 (filed 2026-02-18) p. 96</t>
        </r>
      </text>
    </comment>
    <comment ref="F6" authorId="0">
      <text>
        <r>
          <t xml:space="preserve">Cited for 9 cells in E6:F10
CWAN 10-K FY2025 (filed 2026-02-18) p. 96</t>
        </r>
      </text>
    </comment>
    <comment ref="G12" authorId="0">
      <text>
        <r>
          <t xml:space="preserve">Cited for G12:G19
CWAN 10-Q FY2026 Q1 (filed 2026-05-07) p. 8</t>
        </r>
      </text>
    </comment>
    <comment ref="G21" authorId="0">
      <text>
        <r>
          <t xml:space="preserve">CWAN 10-Q FY2026 Q1 (filed 2026-05-07) p. 8</t>
        </r>
      </text>
    </comment>
    <comment ref="G23" authorId="0">
      <text>
        <r>
          <t xml:space="preserve">Cited for G23:G27
CWAN 10-Q FY2026 Q1 (filed 2026-05-07) p. 8</t>
        </r>
      </text>
    </comment>
    <comment ref="G29" authorId="0">
      <text>
        <r>
          <t xml:space="preserve">Cited for G29:G33
CWAN 10-Q FY2026 Q1 (filed 2026-05-07) p. 8</t>
        </r>
      </text>
    </comment>
    <comment ref="G35" authorId="0">
      <text>
        <r>
          <t xml:space="preserve">Cited for G35:G37
CWAN 10-Q FY2026 Q1 (filed 2026-05-07) p. 8</t>
        </r>
      </text>
    </comment>
    <comment ref="G38" authorId="0">
      <text>
        <r>
          <t xml:space="preserve">CWAN 10-Q FY2026 Q1 (filed 2026-05-07) p. 8</t>
        </r>
      </text>
    </comment>
    <comment ref="G6" authorId="0">
      <text>
        <r>
          <t xml:space="preserve">CWAN 10-Q FY2026 Q1 (filed 2026-05-07) p. 8</t>
        </r>
      </text>
    </comment>
    <comment ref="G8" authorId="0">
      <text>
        <r>
          <t xml:space="preserve">Cited for G8:G10
CWAN 10-Q FY2026 Q1 (filed 2026-05-07) p. 8</t>
        </r>
      </text>
    </comment>
  </commentList>
</comments>
</file>

<file path=xl/comments9.xml><?xml version="1.0" encoding="utf-8"?>
<comments xmlns="http://schemas.openxmlformats.org/spreadsheetml/2006/main">
  <authors>
    <author>Compound</author>
  </authors>
  <commentList>
    <comment ref="B36" authorId="0">
      <text>
        <r>
          <t xml:space="preserve">CWAN 10-K FY2023 (filed 2024-02-29) p. 115</t>
        </r>
      </text>
    </comment>
    <comment ref="B39" authorId="0">
      <text>
        <r>
          <t xml:space="preserve">Cited for 16 cells in B39:C50
CWAN 10-K FY2023 (filed 2024-02-29) p. 115</t>
        </r>
      </text>
    </comment>
    <comment ref="C14" authorId="0">
      <text>
        <r>
          <t xml:space="preserve">Cited for B14:C14
CWAN 10-K FY2023 (filed 2024-02-29) p. 115</t>
        </r>
      </text>
    </comment>
    <comment ref="C18" authorId="0">
      <text>
        <r>
          <t xml:space="preserve">Cited for 11 cells in B18:C23
CWAN 10-K FY2023 (filed 2024-02-29) p. 115</t>
        </r>
      </text>
    </comment>
    <comment ref="C25" authorId="0">
      <text>
        <r>
          <t xml:space="preserve">Cited for B25:C25
CWAN 10-K FY2023 (filed 2024-02-29) p. 115</t>
        </r>
      </text>
    </comment>
    <comment ref="C28" authorId="0">
      <text>
        <r>
          <t xml:space="preserve">Cited for B28:C28
CWAN 10-K FY2023 (filed 2024-02-29) p. 115</t>
        </r>
      </text>
    </comment>
    <comment ref="C30" authorId="0">
      <text>
        <r>
          <t xml:space="preserve">CWAN 10-K FY2023 (filed 2024-02-29) p. 115</t>
        </r>
      </text>
    </comment>
    <comment ref="C34" authorId="0">
      <text>
        <r>
          <t xml:space="preserve">CWAN 10-K FY2023 (filed 2024-02-29) p. 115</t>
        </r>
      </text>
    </comment>
    <comment ref="C36" authorId="0">
      <text>
        <r>
          <t xml:space="preserve">CWAN 10-K FY2023 (filed 2024-02-29) p. 115</t>
        </r>
      </text>
    </comment>
    <comment ref="C52" authorId="0">
      <text>
        <r>
          <t xml:space="preserve">Cited for B52:C52
CWAN 10-K FY2023 (filed 2024-02-29) p. 115</t>
        </r>
      </text>
    </comment>
    <comment ref="C54" authorId="0">
      <text>
        <r>
          <t xml:space="preserve">Cited for B54:C57
CWAN 10-K FY2023 (filed 2024-02-29) p. 115</t>
        </r>
      </text>
    </comment>
    <comment ref="C6" authorId="0">
      <text>
        <r>
          <t xml:space="preserve">Cited for 12 cells in B6:C12
CWAN 10-K FY2023 (filed 2024-02-29) p. 115</t>
        </r>
      </text>
    </comment>
    <comment ref="D56" authorId="0">
      <text>
        <r>
          <t xml:space="preserve">CWAN 10-K FY2025 (filed 2026-02-18) p. 104</t>
        </r>
      </text>
    </comment>
    <comment ref="F18" authorId="0">
      <text>
        <r>
          <t xml:space="preserve">Cited for 22 cells in D18:F25
CWAN 10-K FY2025 (filed 2026-02-18) p. 104</t>
        </r>
      </text>
    </comment>
    <comment ref="F28" authorId="0">
      <text>
        <r>
          <t xml:space="preserve">Cited for 20 cells in D28:F36
CWAN 10-K FY2025 (filed 2026-02-18) p. 104</t>
        </r>
      </text>
    </comment>
    <comment ref="F35" authorId="0">
      <text>
        <r>
          <t xml:space="preserve">CWAN 10-K FY2025 (filed 2026-02-18) p. 104</t>
        </r>
      </text>
    </comment>
    <comment ref="F40" authorId="0">
      <text>
        <r>
          <t xml:space="preserve">Cited for 11 cells in D40:F44
CWAN 10-K FY2025 (filed 2026-02-18) p. 104</t>
        </r>
      </text>
    </comment>
    <comment ref="F49" authorId="0">
      <text>
        <r>
          <t xml:space="preserve">Cited for 10 cells in D49:F52
CWAN 10-K FY2025 (filed 2026-02-18) p. 104</t>
        </r>
      </text>
    </comment>
    <comment ref="F54" authorId="0">
      <text>
        <r>
          <t xml:space="preserve">Cited for 10 cells in D54:F57
CWAN 10-K FY2025 (filed 2026-02-18) p. 104</t>
        </r>
      </text>
    </comment>
    <comment ref="F57" authorId="0">
      <text>
        <r>
          <t xml:space="preserve">CWAN 10-K FY2025 (filed 2026-02-18) p. 104</t>
        </r>
      </text>
    </comment>
    <comment ref="F6" authorId="0">
      <text>
        <r>
          <t xml:space="preserve">Cited for 29 cells in D6:F16
CWAN 10-K FY2025 (filed 2026-02-18) p. 104</t>
        </r>
      </text>
    </comment>
    <comment ref="G30" authorId="0">
      <text>
        <r>
          <t xml:space="preserve">CWAN 10-Q FY2026 Q1 (filed 2026-05-07) p. 14</t>
        </r>
      </text>
    </comment>
    <comment ref="G32" authorId="0">
      <text>
        <r>
          <t xml:space="preserve">CWAN 10-Q FY2026 Q1 (filed 2026-05-07) p. 14</t>
        </r>
      </text>
    </comment>
    <comment ref="G33" authorId="0">
      <text>
        <r>
          <t xml:space="preserve">CWAN 10-Q FY2026 Q1 (filed 2026-05-07) p. 14</t>
        </r>
      </text>
    </comment>
    <comment ref="G36" authorId="0">
      <text>
        <r>
          <t xml:space="preserve">CWAN 10-Q FY2026 Q1 (filed 2026-05-07) p. 14</t>
        </r>
      </text>
    </comment>
    <comment ref="G46" authorId="0">
      <text>
        <r>
          <t xml:space="preserve">CWAN 10-Q FY2026 Q1 (filed 2026-05-07) p. 14</t>
        </r>
      </text>
    </comment>
    <comment ref="H13" authorId="0">
      <text>
        <r>
          <t xml:space="preserve">Cited for 5 cells in G13:H16
CWAN 10-Q FY2026 Q1 (filed 2026-05-07) p. 14</t>
        </r>
      </text>
    </comment>
    <comment ref="H17" authorId="0">
      <text>
        <r>
          <t xml:space="preserve">Cited for 12 cells in G17:H23
CWAN 10-Q FY2026 Q1 (filed 2026-05-07) p. 14</t>
        </r>
      </text>
    </comment>
    <comment ref="H24" authorId="0">
      <text>
        <r>
          <t xml:space="preserve">Cited for 3 cells in G24:H25
CWAN 10-Q FY2026 Q1 (filed 2026-05-07) p. 14</t>
        </r>
      </text>
    </comment>
    <comment ref="H28" authorId="0">
      <text>
        <r>
          <t xml:space="preserve">Cited for G28:H28
CWAN 10-Q FY2026 Q1 (filed 2026-05-07) p. 14</t>
        </r>
      </text>
    </comment>
    <comment ref="H36" authorId="0">
      <text>
        <r>
          <t xml:space="preserve">CWAN 10-Q FY2026 Q1 (filed 2026-05-07) p. 14</t>
        </r>
      </text>
    </comment>
    <comment ref="H41" authorId="0">
      <text>
        <r>
          <t xml:space="preserve">Cited for G41:H41
CWAN 10-Q FY2026 Q1 (filed 2026-05-07) p. 14</t>
        </r>
      </text>
    </comment>
    <comment ref="H44" authorId="0">
      <text>
        <r>
          <t xml:space="preserve">Cited for G44:H44
CWAN 10-Q FY2026 Q1 (filed 2026-05-07) p. 14</t>
        </r>
      </text>
    </comment>
    <comment ref="H52" authorId="0">
      <text>
        <r>
          <t xml:space="preserve">Cited for G52:H52
CWAN 10-Q FY2026 Q1 (filed 2026-05-07) p. 14</t>
        </r>
      </text>
    </comment>
    <comment ref="H54" authorId="0">
      <text>
        <r>
          <t xml:space="preserve">Cited for G54:H57
CWAN 10-Q FY2026 Q1 (filed 2026-05-07) p. 14</t>
        </r>
      </text>
    </comment>
    <comment ref="H6" authorId="0">
      <text>
        <r>
          <t xml:space="preserve">Cited for G6:H11
CWAN 10-Q FY2026 Q1 (filed 2026-05-07) p. 14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<sst xmlns="http://schemas.openxmlformats.org/spreadsheetml/2006/main" count="2360" uniqueCount="2360">
  <si>
    <t/>
  </si>
  <si>
    <t/>
  </si>
  <si>
    <t>Driver</t>
  </si>
  <si>
    <t/>
  </si>
  <si>
    <t/>
  </si>
  <si>
    <t/>
  </si>
  <si>
    <t/>
  </si>
  <si>
    <t/>
  </si>
  <si>
    <t/>
  </si>
  <si>
    <t/>
  </si>
  <si>
    <t/>
  </si>
  <si>
    <t>Depreciation (% of capex)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</si>
  <si>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</si>
  <si>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</si>
  <si>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</si>
  <si>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</si>
  <si>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</si>
  <si>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</si>
  <si>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</si>
  <si>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</si>
  <si>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</si>
  <si>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</si>
  <si>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</si>
  <si>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</si>
  <si>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</si>
  <si>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</si>
  <si>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</si>
  <si>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</si>
  <si>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</si>
  <si>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</si>
  <si>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</si>
  <si>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</si>
  <si>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</si>
  <si>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Cost of revenue</t>
  </si>
  <si>
    <t>Research and development</t>
  </si>
  <si>
    <t>Sales and marketing</t>
  </si>
  <si>
    <t>General and administrative</t>
  </si>
  <si>
    <t>Total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</si>
  <si>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</si>
  <si>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</si>
  <si>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</si>
  <si>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</si>
  <si>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</si>
  <si>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</si>
  <si>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</si>
  <si>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</si>
  <si>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</si>
  <si>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</si>
  <si>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</si>
  <si>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</si>
  <si>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</si>
  <si>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</si>
  <si>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</si>
  <si>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</si>
  <si>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</si>
  <si>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</si>
  <si>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</si>
  <si>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</si>
  <si>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</si>
  <si>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</si>
  <si>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</si>
  <si>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</si>
  <si>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</si>
  <si>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</si>
  <si>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</si>
  <si>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</si>
  <si>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</si>
  <si>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</si>
  <si>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</si>
  <si>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</si>
  <si>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</si>
  <si>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</si>
  <si>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</si>
  <si>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</si>
  <si>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</si>
  <si>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</si>
  <si>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Interest expense</t>
  </si>
  <si>
    <t>Tax receivable agreement expense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</si>
  <si>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</si>
  <si>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</si>
  <si>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</si>
  <si>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</si>
  <si>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</si>
  <si>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</si>
  <si>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</si>
  <si>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</si>
  <si>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</si>
  <si>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</si>
  <si>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</si>
  <si>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</si>
  <si>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</si>
  <si>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</si>
  <si>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</si>
  <si>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</si>
  <si>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</si>
  <si>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Cash and cash equivalents</t>
  </si>
  <si>
    <t>Short-term investments</t>
  </si>
  <si>
    <t>Accounts receivable, net</t>
  </si>
  <si>
    <t>Prepaid expenses and other current assets</t>
  </si>
  <si>
    <t/>
  </si>
  <si>
    <t>Property, equipment and software, net</t>
  </si>
  <si>
    <t>Operating lease right-of-use assets, net</t>
  </si>
  <si>
    <t>Deferred contract costs, non-current</t>
  </si>
  <si>
    <t/>
  </si>
  <si>
    <t>Deferred tax assets, net</t>
  </si>
  <si>
    <t>Other non-current assets</t>
  </si>
  <si>
    <t>Intangible assets, net</t>
  </si>
  <si>
    <t>Goodwill</t>
  </si>
  <si>
    <t>Long-term investments</t>
  </si>
  <si>
    <t/>
  </si>
  <si>
    <t>Accounts payable</t>
  </si>
  <si>
    <t>Accrued expenses and other current liabilities</t>
  </si>
  <si>
    <t>Deferred revenue</t>
  </si>
  <si>
    <t>Notes payable, current portion</t>
  </si>
  <si>
    <t>Operating lease liability, current portion</t>
  </si>
  <si>
    <t>Tax receivable agreement liability</t>
  </si>
  <si>
    <t/>
  </si>
  <si>
    <t/>
  </si>
  <si>
    <t/>
  </si>
  <si>
    <t>Other long-term liabilities</t>
  </si>
  <si>
    <t/>
  </si>
  <si>
    <t/>
  </si>
  <si>
    <t/>
  </si>
  <si>
    <t/>
  </si>
  <si>
    <t/>
  </si>
  <si>
    <t/>
  </si>
  <si>
    <t/>
  </si>
  <si>
    <t/>
  </si>
  <si>
    <t/>
  </si>
  <si>
    <t>Non-controlling interests</t>
  </si>
  <si>
    <t/>
  </si>
  <si>
    <t/>
  </si>
  <si>
    <t/>
  </si>
  <si>
    <t/>
  </si>
  <si>
    <t/>
  </si>
  <si>
    <t>Net income (loss)</t>
  </si>
  <si>
    <t>Depreciation and amortization</t>
  </si>
  <si>
    <t>Noncash operating lease cost</t>
  </si>
  <si>
    <t>Equity-based compensation</t>
  </si>
  <si>
    <t>Amortization of deferred contract acquisition costs</t>
  </si>
  <si>
    <t>Amortization of debt issuance costs</t>
  </si>
  <si>
    <t>Debt extinguishment costs</t>
  </si>
  <si>
    <t>Provision for bad debt</t>
  </si>
  <si>
    <t/>
  </si>
  <si>
    <t>Accretion of discount on investments</t>
  </si>
  <si>
    <t>Realized gain on investments</t>
  </si>
  <si>
    <t>Gain on disposal of fixed assets</t>
  </si>
  <si>
    <t/>
  </si>
  <si>
    <t/>
  </si>
  <si>
    <t/>
  </si>
  <si>
    <t/>
  </si>
  <si>
    <t/>
  </si>
  <si>
    <t/>
  </si>
  <si>
    <t/>
  </si>
  <si>
    <t/>
  </si>
  <si>
    <t>Purchases of property, equipment and software</t>
  </si>
  <si>
    <t>Purchases of intangible assets</t>
  </si>
  <si>
    <t/>
  </si>
  <si>
    <t/>
  </si>
  <si>
    <t>Proceeds from sale of available-for-sale investments</t>
  </si>
  <si>
    <t>Proceeds from maturities of investments</t>
  </si>
  <si>
    <t/>
  </si>
  <si>
    <t/>
  </si>
  <si>
    <t/>
  </si>
  <si>
    <t>Proceeds from exercise of options</t>
  </si>
  <si>
    <t>Taxes paid on net share settlement of equity awards</t>
  </si>
  <si>
    <t/>
  </si>
  <si>
    <t/>
  </si>
  <si>
    <t>Repayments of borrowings</t>
  </si>
  <si>
    <t>Payment of debt issuance costs</t>
  </si>
  <si>
    <t>Proceeds from employee stock purchase plan</t>
  </si>
  <si>
    <t>Payment of tax distributions</t>
  </si>
  <si>
    <t>Payment of business acquisition holdback liability</t>
  </si>
  <si>
    <t/>
  </si>
  <si>
    <t/>
  </si>
  <si>
    <t/>
  </si>
  <si>
    <t>Cash and cash equivalents, beginning of period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</si>
  <si>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</si>
  <si>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</si>
  <si>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</si>
  <si>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</si>
  <si>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</si>
  <si>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</si>
  <si>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</si>
  <si>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</si>
  <si>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</si>
  <si>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</si>
  <si>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</si>
  <si>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</si>
  <si>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</si>
  <si>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</si>
  <si>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</si>
  <si>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</si>
  <si>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</si>
  <si>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</si>
  <si>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Deferred contract acquisition costs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</si>
  <si>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</si>
  <si>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</si>
  <si>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</si>
  <si>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</si>
  <si>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</si>
  <si>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</si>
  <si>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</si>
  <si>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</si>
  <si>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</si>
  <si>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</si>
  <si>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</si>
  <si>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</si>
  <si>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</si>
  <si>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</si>
  <si>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</si>
  <si>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</si>
  <si>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</si>
  <si>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</si>
  <si>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</si>
  <si>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</si>
  <si>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</si>
  <si>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</si>
  <si>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</si>
  <si>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</si>
  <si>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</si>
  <si>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</si>
  <si>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</si>
  <si>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</si>
  <si>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</si>
  <si>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</si>
  <si>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</si>
  <si>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</si>
  <si>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</si>
  <si>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</si>
  <si>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</si>
  <si>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</si>
  <si>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</si>
  <si>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</si>
  <si>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</si>
  <si>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</si>
  <si>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</si>
  <si>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</si>
  <si>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</si>
  <si>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</si>
  <si>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</si>
  <si>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</si>
  <si>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</si>
  <si>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</si>
  <si>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</si>
  <si>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</si>
  <si>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</si>
  <si>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</si>
  <si>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</si>
  <si>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</si>
  <si>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</si>
  <si>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</si>
  <si>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</si>
  <si>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</si>
  <si>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</si>
  <si>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</si>
  <si>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</si>
  <si>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</si>
  <si>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</si>
  <si>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</si>
  <si>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</si>
  <si>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</si>
  <si>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</si>
  <si>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</si>
  <si>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</si>
  <si>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</si>
  <si>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</si>
  <si>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</si>
  <si>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</si>
  <si>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</si>
  <si>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</si>
  <si>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</si>
  <si>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</si>
  <si>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</si>
  <si>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</si>
  <si>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</si>
  <si>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</si>
  <si>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</si>
  <si>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</si>
  <si>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</si>
  <si>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</si>
  <si>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</si>
  <si>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</si>
  <si>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</si>
  <si>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</si>
  <si>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</si>
  <si>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</si>
  <si>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</si>
  <si>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</si>
  <si>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</si>
  <si>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</si>
  <si>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</si>
  <si>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</si>
  <si>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</si>
  <si>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</si>
  <si>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</si>
  <si>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</si>
  <si>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</si>
  <si>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</si>
  <si>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</si>
  <si>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</si>
  <si>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</si>
  <si>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</si>
  <si>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Revenue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</si>
  <si>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</si>
  <si>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</si>
  <si>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</si>
  <si>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</si>
  <si>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</si>
  <si>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</si>
  <si>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</si>
  <si>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</si>
  <si>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</si>
  <si>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</si>
  <si>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</si>
  <si>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</si>
  <si>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</si>
  <si>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</si>
  <si>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</si>
  <si>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</si>
  <si>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</si>
  <si>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</si>
  <si>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</si>
  <si>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</si>
  <si>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</si>
  <si>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</si>
  <si>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</si>
  <si>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</si>
  <si>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</si>
  <si>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</si>
  <si>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</si>
  <si>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</si>
  <si>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</si>
  <si>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</si>
  <si>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</si>
  <si>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</si>
  <si>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</si>
  <si>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</si>
  <si>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</si>
  <si>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</si>
  <si>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</si>
  <si>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</si>
  <si>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</si>
  <si>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</si>
  <si>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</si>
  <si>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</si>
  <si>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</si>
  <si>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</si>
  <si>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</si>
  <si>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</si>
  <si>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</si>
  <si>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</si>
  <si>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</si>
  <si>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</si>
  <si>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</si>
  <si>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</si>
  <si>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</si>
  <si>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</si>
  <si>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</si>
  <si>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</si>
  <si>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</si>
  <si>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</si>
  <si>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</si>
  <si>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</si>
  <si>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</si>
  <si>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</si>
  <si>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</si>
  <si>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</si>
  <si>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</si>
  <si>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</si>
  <si>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</si>
  <si>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</si>
  <si>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</si>
  <si>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</si>
  <si>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</si>
  <si>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</si>
  <si>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</si>
  <si>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</si>
  <si>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</si>
  <si>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</si>
  <si>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</si>
  <si>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</si>
  <si>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</si>
  <si>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</si>
  <si>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</si>
  <si>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</si>
  <si>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</si>
  <si>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</si>
  <si>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</si>
  <si>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</si>
  <si>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</si>
  <si>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</si>
  <si>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</si>
  <si>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</si>
  <si>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</si>
  <si>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</si>
  <si>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</si>
  <si>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</si>
  <si>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</si>
  <si>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</si>
  <si>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</si>
  <si>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</si>
  <si>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</si>
  <si>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</si>
  <si>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</si>
  <si>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</si>
  <si>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</si>
  <si>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</si>
  <si>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</si>
  <si>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</si>
  <si>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</si>
  <si>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</si>
  <si>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</si>
  <si>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</si>
  <si>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</si>
  <si>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</si>
  <si>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</si>
  <si>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</si>
  <si>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</si>
  <si>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</si>
  <si>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</si>
  <si>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</si>
  <si>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</si>
  <si>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</si>
  <si>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</si>
  <si>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</si>
  <si>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</si>
  <si>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</si>
  <si>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</si>
  <si>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</si>
  <si>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</si>
  <si>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</si>
  <si>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</si>
  <si>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</si>
  <si>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</si>
  <si>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</si>
  <si>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</si>
  <si>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</si>
  <si>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</si>
  <si>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</si>
  <si>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</si>
  <si>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</si>
  <si>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</si>
  <si>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</si>
  <si>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</si>
  <si>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</si>
  <si>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</si>
  <si>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</si>
  <si>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</si>
  <si>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</si>
  <si>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</si>
  <si>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</si>
  <si>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</si>
  <si>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</si>
  <si>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</si>
  <si>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</si>
  <si>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</si>
  <si>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</si>
  <si>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</si>
  <si>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</si>
  <si>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</si>
  <si>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</si>
  <si>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</si>
  <si>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</si>
  <si>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</si>
  <si>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</si>
  <si>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</si>
  <si>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</si>
  <si>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</si>
  <si>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</si>
  <si>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</si>
  <si>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</si>
  <si>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</si>
  <si>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Difference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</si>
  <si>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</si>
  <si>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</si>
  <si>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</si>
  <si>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</si>
  <si>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</si>
  <si>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</si>
  <si>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</si>
  <si>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</si>
  <si>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</si>
  <si>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</si>
  <si>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</si>
  <si>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</si>
  <si>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</si>
  <si>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</si>
  <si>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</si>
  <si>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</si>
  <si>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</si>
  <si>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</si>
  <si>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</si>
  <si>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</si>
  <si>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</si>
  <si>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</si>
  <si>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</si>
  <si>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</si>
  <si>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</si>
  <si>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</si>
  <si>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</si>
  <si>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</si>
  <si>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</si>
  <si>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</si>
  <si>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</si>
  <si>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</si>
  <si>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</si>
  <si>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</si>
  <si>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</si>
  <si>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</si>
  <si>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</si>
  <si>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</si>
  <si>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</si>
  <si>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</si>
  <si>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</si>
  <si>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</si>
  <si>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</si>
  <si>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</si>
  <si>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</si>
  <si>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</si>
  <si>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</si>
  <si>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</si>
  <si>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</si>
  <si>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</si>
  <si>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</si>
  <si>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</si>
  <si>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</si>
  <si>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</si>
  <si>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</si>
  <si>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</si>
  <si>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</si>
  <si>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</si>
  <si>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</si>
  <si>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</si>
  <si>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</si>
  <si>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</si>
  <si>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</si>
  <si>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</si>
  <si>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</si>
  <si>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</si>
  <si>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</si>
  <si>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</si>
  <si>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</si>
  <si>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</si>
  <si>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</si>
  <si>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</si>
  <si>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</si>
  <si>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</si>
  <si>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Loss on debt extinguishment</t>
  </si>
  <si>
    <t/>
  </si>
  <si>
    <t/>
  </si>
  <si>
    <t/>
  </si>
  <si>
    <t/>
  </si>
  <si>
    <t>Less: non-controlling interests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</si>
  <si>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</si>
  <si>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</si>
  <si>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</si>
  <si>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</si>
  <si>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</si>
  <si>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</si>
  <si>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</si>
  <si>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</si>
  <si>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</si>
  <si>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</si>
  <si>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</si>
  <si>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</si>
  <si>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</si>
  <si>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</si>
  <si>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</si>
  <si>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</si>
  <si>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</si>
  <si>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</si>
  <si>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</si>
  <si>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</si>
  <si>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</si>
  <si>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</si>
  <si>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</si>
  <si>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</si>
  <si>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</si>
  <si>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</si>
  <si>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</si>
  <si>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</si>
  <si>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Net income</t>
  </si>
  <si>
    <t/>
  </si>
  <si>
    <t/>
  </si>
  <si>
    <t/>
  </si>
  <si>
    <t/>
  </si>
  <si>
    <t>Prepaid expenses and other assets</t>
  </si>
  <si>
    <t/>
  </si>
  <si>
    <t>Accrued expenses and other liabilities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</si>
  <si>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</si>
  <si>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</si>
  <si>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</si>
  <si>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</si>
  <si>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</si>
  <si>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</si>
  <si>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</si>
  <si>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</si>
  <si>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</si>
  <si>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</si>
  <si>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</si>
  <si>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</si>
  <si>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</si>
  <si>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Proceeds from borrowings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</si>
  <si>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</si>
  <si>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</si>
  <si>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</si>
  <si>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</si>
  <si>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</si>
  <si>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</si>
  <si>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</si>
  <si>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</si>
  <si>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</si>
  <si>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</si>
  <si>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</si>
  <si>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</si>
  <si>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</si>
  <si>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</si>
  <si>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</si>
  <si>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</si>
  <si>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</si>
  <si>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</si>
  <si>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</si>
  <si>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</si>
  <si>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</si>
  <si>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</si>
  <si>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</si>
  <si>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</si>
  <si>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</si>
  <si>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Live case</t>
  </si>
  <si>
    <t/>
  </si>
  <si>
    <t>Base</t>
  </si>
  <si>
    <t>Upside</t>
  </si>
  <si>
    <t>Downside</t>
  </si>
  <si>
    <t/>
  </si>
  <si>
    <t>Capex (% of revenue)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</si>
  <si>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</si>
  <si>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</si>
  <si>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</si>
  <si>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</si>
  <si>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</si>
  <si>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</si>
  <si>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</si>
  <si>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</si>
  <si>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</si>
  <si>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</si>
  <si>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</si>
  <si>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</si>
  <si>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</si>
  <si>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</si>
  <si>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</si>
  <si>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</si>
  <si>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</si>
  <si>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</si>
  <si>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</si>
  <si>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</si>
  <si>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</si>
  <si>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</si>
  <si>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</si>
  <si>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</si>
  <si>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</si>
  <si>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</si>
  <si>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</si>
  <si>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</si>
  <si>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</si>
  <si>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</si>
  <si>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</si>
  <si>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</si>
  <si>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Interest expense</t>
  </si>
  <si>
    <t/>
  </si>
  <si>
    <t/>
  </si>
  <si>
    <t/>
  </si>
  <si>
    <t/>
  </si>
  <si>
    <t/>
  </si>
  <si>
    <t/>
  </si>
  <si>
    <t/>
  </si>
  <si>
    <t/>
  </si>
  <si>
    <t>(+) Contract cost amortization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</si>
  <si>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</si>
  <si>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</si>
  <si>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</si>
  <si>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</si>
  <si>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</si>
  <si>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</si>
  <si>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</si>
  <si>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</si>
  <si>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</si>
  <si>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</si>
  <si>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</si>
  <si>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</si>
  <si>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</si>
  <si>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</si>
  <si>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</si>
  <si>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</si>
  <si>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Amortization</t>
  </si>
  <si>
    <t/>
  </si>
  <si>
    <t/>
  </si>
  <si>
    <t>(–) Depreciation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</si>
  <si>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</si>
  <si>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</si>
  <si>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</si>
  <si>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</si>
  <si>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</si>
  <si>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</si>
  <si>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</si>
  <si>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</si>
  <si>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</si>
  <si>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</si>
  <si>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</si>
  <si>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</si>
  <si>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</si>
  <si>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</si>
  <si>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</si>
  <si>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DTA utilized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</si>
  <si>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</si>
  <si>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</si>
  <si>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</si>
  <si>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</si>
  <si>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</si>
  <si>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</si>
  <si>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</si>
  <si>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</si>
  <si>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</si>
  <si>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</si>
  <si>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</si>
  <si>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</si>
  <si>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</si>
  <si>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</si>
  <si>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Capex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</si>
  <si>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</si>
  <si>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</si>
  <si>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</si>
  <si>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</si>
  <si>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</si>
  <si>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</si>
  <si>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</si>
  <si>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</si>
  <si>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</si>
  <si>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</si>
  <si>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</si>
  <si>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</si>
  <si>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</si>
  <si>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</si>
  <si>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SBC expense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</si>
  <si>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</si>
  <si>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</si>
  <si>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</si>
  <si>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</si>
  <si>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</si>
  <si>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</si>
  <si>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</si>
  <si>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</si>
  <si>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</si>
  <si>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</si>
  <si>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</si>
  <si>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</si>
  <si>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</si>
  <si>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</si>
  <si>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</si>
  <si>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</si>
  <si>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</si>
  <si>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</si>
  <si>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</si>
  <si>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</si>
  <si>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</si>
  <si>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</si>
  <si>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</si>
  <si>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</si>
  <si>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</si>
  <si>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</si>
  <si>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</si>
  <si>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</si>
  <si>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</si>
  <si>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</si>
  <si>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</si>
  <si>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</si>
  <si>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</si>
  <si>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</si>
  <si>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</si>
  <si>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</si>
  <si>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</si>
  <si>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</si>
  <si>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</si>
  <si>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</si>
  <si>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</si>
  <si>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</si>
  <si>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</si>
  <si>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</si>
  <si>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</si>
  <si>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</si>
  <si>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</si>
  <si>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</si>
  <si>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</si>
  <si>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</si>
  <si>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</si>
  <si>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</si>
  <si>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</si>
  <si>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</si>
  <si>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</si>
  <si>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</si>
  <si>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</si>
  <si>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</si>
  <si>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</si>
  <si>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</si>
  <si>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</si>
  <si>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</si>
  <si>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</si>
  <si>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</si>
  <si>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</si>
  <si>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</si>
  <si>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</si>
  <si>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Close date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</si>
  <si>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</si>
  <si>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</si>
  <si>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</si>
  <si>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</si>
  <si>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</si>
  <si>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</si>
  <si>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</si>
  <si>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</si>
  <si>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</si>
  <si>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</si>
  <si>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</si>
  <si>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</si>
  <si>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</si>
  <si>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</si>
  <si>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</si>
  <si>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</si>
  <si>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</si>
  <si>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</si>
  <si>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</si>
  <si>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</si>
  <si>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</si>
  <si>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</si>
  <si>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</si>
  <si>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</si>
  <si>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</si>
  <si>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</si>
  <si>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</si>
  <si>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</si>
  <si>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</si>
  <si>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</si>
  <si>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</si>
  <si>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</si>
  <si>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Term loan</t>
  </si>
  <si>
    <t>Delayed-draw term loan</t>
  </si>
  <si>
    <t>Revolving credit facility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</si>
  <si>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</si>
  <si>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</si>
  <si>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</si>
  <si>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</si>
  <si>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</si>
  <si>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</si>
  <si>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</si>
  <si>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</si>
  <si>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</si>
  <si>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</si>
  <si>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</si>
  <si>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</si>
  <si>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</si>
  <si>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</si>
  <si>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</si>
  <si>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</si>
  <si>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</si>
  <si>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</si>
  <si>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</si>
  <si>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</si>
  <si>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</si>
  <si>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</si>
  <si>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</si>
  <si>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</si>
  <si>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</si>
  <si>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</si>
  <si>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</si>
  <si>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</si>
  <si>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</si>
  <si>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</si>
  <si>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</si>
  <si>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</si>
  <si>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</si>
  <si>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</si>
  <si>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</si>
  <si>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</si>
  <si>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</si>
  <si>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</si>
  <si>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</si>
  <si>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</si>
  <si>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</si>
  <si>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</si>
  <si>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</si>
  <si>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</si>
  <si>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</si>
  <si>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</si>
  <si>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</si>
  <si>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</si>
  <si>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</si>
  <si>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</si>
  <si>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Live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</si>
  <si>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</si>
  <si>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</si>
  <si>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</si>
  <si>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</si>
  <si>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</si>
  <si>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</si>
  <si>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</si>
  <si>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</si>
  <si>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</si>
  <si>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</si>
  <si>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</si>
  <si>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</si>
  <si>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</si>
  <si>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</si>
  <si>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</si>
  <si>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</si>
  <si>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</si>
  <si>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</si>
  <si>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</si>
  <si>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</si>
  <si>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</si>
  <si>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</si>
  <si>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</si>
  <si>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</si>
  <si>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</si>
  <si>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</si>
  <si>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</si>
  <si>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</si>
  <si>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</si>
  <si>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</si>
  <si>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</si>
  <si>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</si>
  <si>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</si>
  <si>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SBC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</si>
  <si>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</si>
  <si>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</si>
  <si>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</si>
  <si>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</si>
  <si>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</si>
  <si>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</si>
  <si>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</si>
  <si>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</si>
  <si>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</si>
  <si>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</si>
  <si>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</si>
  <si>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</si>
  <si>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</si>
  <si>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</si>
  <si>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</si>
  <si>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</si>
  <si>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</si>
  <si>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</si>
  <si>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</si>
  <si>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</si>
  <si>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</si>
  <si>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</si>
  <si>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</si>
  <si>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</si>
  <si>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</si>
  <si>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</si>
  <si>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</si>
  <si>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</si>
  <si>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</si>
  <si>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</si>
  <si>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</si>
  <si>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</si>
  <si>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</si>
  <si>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</si>
  <si>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</si>
  <si>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</si>
  <si>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</si>
  <si>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</si>
  <si>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Exit enterprise value</t>
  </si>
  <si>
    <t/>
  </si>
  <si>
    <t>Exit equity value</t>
  </si>
  <si>
    <t/>
  </si>
  <si>
    <t>Close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</si>
  <si>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</si>
  <si>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</si>
  <si>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</si>
  <si>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</si>
  <si>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</si>
  <si>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</si>
  <si>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</si>
  <si>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</si>
  <si>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</si>
  <si>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</si>
  <si>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</si>
  <si>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</si>
  <si>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</si>
  <si>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</si>
  <si>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</si>
  <si>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</si>
  <si>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</si>
  <si>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</si>
  <si>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</si>
  <si>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</si>
  <si>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</si>
  <si>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</si>
  <si>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</si>
  <si>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</si>
  <si>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</si>
  <si>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</si>
  <si>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</si>
  <si>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</si>
  <si>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</si>
  <si>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</si>
  <si>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</si>
  <si>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</si>
  <si>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</si>
  <si>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</si>
  <si>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</si>
  <si>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</si>
  <si>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Minimum cash</t>
  </si>
  <si>
    <t>Management rollover</t>
  </si>
  <si>
    <t/>
  </si>
  <si>
    <t/>
  </si>
  <si>
    <t/>
  </si>
  <si>
    <t/>
  </si>
  <si>
    <t/>
  </si>
  <si>
    <t/>
  </si>
  <si>
    <t/>
  </si>
  <si>
    <t/>
  </si>
  <si>
    <t/>
  </si>
  <si>
    <t/>
  </si>
  <si>
    <t>RSUs (m)</t>
  </si>
  <si>
    <t/>
  </si>
  <si>
    <t/>
  </si>
  <si>
    <t>Weighted average strike ($)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</si>
  <si>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</si>
  <si>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</si>
  <si>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</si>
  <si>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</si>
  <si>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</si>
  <si>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</si>
  <si>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</si>
  <si>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</si>
  <si>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</si>
  <si>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</si>
  <si>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</si>
  <si>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</si>
  <si>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</si>
  <si>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</si>
  <si>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</si>
  <si>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</si>
  <si>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</si>
  <si>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</si>
  <si>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</si>
  <si>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</si>
  <si>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</si>
  <si>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</si>
  <si>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</si>
  <si>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</si>
  <si>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</si>
  <si>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</si>
  <si>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</si>
  <si>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</si>
  <si>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</si>
  <si>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Pricing</t>
  </si>
  <si>
    <t/>
  </si>
  <si>
    <t/>
  </si>
  <si>
    <t/>
  </si>
  <si>
    <t/>
  </si>
  <si>
    <t/>
  </si>
  <si>
    <t/>
  </si>
  <si>
    <t>Step-down trigger, 1L net leverage (x)</t>
  </si>
  <si>
    <t/>
  </si>
  <si>
    <t/>
  </si>
  <si>
    <t/>
  </si>
  <si>
    <t>PIK window ends</t>
  </si>
  <si>
    <t/>
  </si>
  <si>
    <t>DDTL availability ends</t>
  </si>
  <si>
    <t>DDTL fee-free period (days)</t>
  </si>
  <si>
    <t/>
  </si>
  <si>
    <t/>
  </si>
  <si>
    <t/>
  </si>
  <si>
    <t/>
  </si>
  <si>
    <t/>
  </si>
  <si>
    <t>Revolver fee trigger 1 (x)</t>
  </si>
  <si>
    <t>Revolver fee trigger 2 (x)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</si>
  <si>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</si>
  <si>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</si>
  <si>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</si>
  <si>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</si>
  <si>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</si>
  <si>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</si>
  <si>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</si>
  <si>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</si>
  <si>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</si>
  <si>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</si>
  <si>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</si>
  <si>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</si>
  <si>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</si>
  <si>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</si>
  <si>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</si>
  <si>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</si>
  <si>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Uses</t>
  </si>
  <si>
    <t>Equity purchase price</t>
  </si>
  <si>
    <t>Refinance existing debt</t>
  </si>
  <si>
    <t/>
  </si>
  <si>
    <t/>
  </si>
  <si>
    <t/>
  </si>
  <si>
    <t>Sources</t>
  </si>
  <si>
    <t>Revolver</t>
  </si>
  <si>
    <t/>
  </si>
  <si>
    <t>Permira</t>
  </si>
  <si>
    <t>Warburg Pincus</t>
  </si>
  <si>
    <t>Francisco Partners</t>
  </si>
  <si>
    <t>Temasek (Robson)</t>
  </si>
  <si>
    <t/>
  </si>
  <si>
    <t/>
  </si>
  <si>
    <t/>
  </si>
  <si>
    <t/>
  </si>
  <si>
    <t/>
  </si>
  <si>
    <t>Equity funded per closing 8-K (approx.)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</si>
  <si>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</si>
  <si>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</si>
  <si>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</si>
  <si>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</si>
  <si>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</si>
  <si>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</si>
  <si>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</si>
  <si>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</si>
  <si>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</si>
  <si>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</si>
  <si>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</si>
  <si>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</si>
  <si>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</si>
  <si>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</si>
  <si>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</si>
  <si>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</si>
  <si>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(+) Interest income</t>
  </si>
  <si>
    <t>(–) Cash taxes</t>
  </si>
  <si>
    <t>Cash taxes</t>
  </si>
  <si>
    <t>Net interest expense</t>
  </si>
  <si>
    <t>§163(j) carryforward, opening</t>
  </si>
  <si>
    <t>§163(j) cap</t>
  </si>
  <si>
    <t>Interest deducted</t>
  </si>
  <si>
    <t>§163(j) carryforward, closing</t>
  </si>
  <si>
    <t>Taxable income</t>
  </si>
  <si>
    <t/>
  </si>
  <si>
    <t>DTA, opening</t>
  </si>
  <si>
    <t>DTA, closing</t>
  </si>
  <si>
    <t/>
  </si>
  <si>
    <t/>
  </si>
  <si>
    <t/>
  </si>
  <si>
    <t/>
  </si>
  <si>
    <t/>
  </si>
  <si>
    <t/>
  </si>
  <si>
    <t>Benchmark, floored</t>
  </si>
  <si>
    <t>Applicable margin</t>
  </si>
  <si>
    <t>PIK share of period</t>
  </si>
  <si>
    <t>Term loan cash rate</t>
  </si>
  <si>
    <t>Term loan PIK rate</t>
  </si>
  <si>
    <t/>
  </si>
  <si>
    <t/>
  </si>
  <si>
    <t/>
  </si>
  <si>
    <t/>
  </si>
  <si>
    <t/>
  </si>
  <si>
    <t/>
  </si>
  <si>
    <t/>
  </si>
  <si>
    <t/>
  </si>
  <si>
    <t/>
  </si>
  <si>
    <t/>
  </si>
  <si>
    <t>(+) Draws</t>
  </si>
  <si>
    <t>Undrawn commitment</t>
  </si>
  <si>
    <t/>
  </si>
  <si>
    <t/>
  </si>
  <si>
    <t/>
  </si>
  <si>
    <t/>
  </si>
  <si>
    <t/>
  </si>
  <si>
    <t/>
  </si>
  <si>
    <t/>
  </si>
  <si>
    <t/>
  </si>
  <si>
    <t/>
  </si>
  <si>
    <t>(–) Cash interest and fees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</si>
  <si>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</si>
  <si>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</si>
  <si>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</si>
  <si>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</si>
  <si>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</si>
  <si>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</si>
  <si>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</si>
  <si>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</si>
  <si>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</si>
  <si>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</si>
  <si>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</si>
  <si>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</si>
  <si>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</si>
  <si>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</si>
  <si>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</si>
  <si>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</si>
  <si>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</si>
  <si>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</si>
  <si>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</si>
  <si>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</si>
  <si>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</si>
  <si>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</si>
  <si>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</si>
  <si>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</si>
  <si>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</si>
  <si>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</si>
  <si>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</si>
  <si>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Years from close</t>
  </si>
  <si>
    <t/>
  </si>
  <si>
    <t/>
  </si>
  <si>
    <t>(+) Cash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</si>
  <si>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</si>
  <si>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</si>
  <si>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</si>
  <si>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</si>
  <si>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</si>
  <si>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</si>
  <si>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</si>
  <si>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</si>
  <si>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</si>
  <si>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</si>
  <si>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</si>
  <si>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Date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</si>
  <si>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</si>
  <si>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</si>
  <si>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</si>
  <si>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</si>
  <si>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</si>
  <si>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</si>
  <si>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</si>
  <si>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</si>
  <si>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</si>
  <si>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</si>
  <si>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</si>
  <si>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</si>
  <si>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</si>
  <si>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</si>
  <si>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</si>
  <si>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</si>
  <si>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</si>
  <si>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</si>
  <si>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</si>
  <si>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</si>
  <si>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</si>
  <si>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</si>
  <si>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</si>
  <si>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</si>
  <si>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</si>
  <si>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</si>
  <si>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</si>
  <si>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</si>
  <si>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</si>
  <si>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</si>
  <si>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</si>
  <si>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</si>
  <si>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</si>
  <si>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</si>
  <si>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</si>
  <si>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</si>
  <si>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</si>
  <si>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</si>
  <si>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</si>
  <si>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</si>
  <si>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</si>
  <si>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</si>
  <si>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</si>
  <si>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</si>
  <si>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</si>
  <si>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</si>
  <si>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</si>
  <si>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</si>
  <si>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</si>
  <si>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</si>
  <si>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</si>
  <si>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</si>
  <si>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</si>
  <si>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</si>
  <si>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</si>
  <si>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</si>
  <si>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</si>
  <si>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</si>
  <si>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</si>
  <si>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</si>
  <si>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</si>
  <si>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</si>
  <si>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</si>
  <si>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</si>
  <si>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</si>
  <si>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</si>
  <si>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</si>
  <si>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</si>
  <si>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</si>
  <si>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</si>
  <si>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Exit year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</si>
  <si>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</si>
  <si>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</si>
  <si>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</si>
  <si>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</si>
  <si>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</si>
  <si>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</si>
  <si>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</si>
  <si>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</si>
  <si>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</si>
  <si>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</si>
  <si>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</si>
  <si>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</si>
  <si>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</si>
  <si>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</si>
  <si>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</si>
  <si>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</si>
  <si>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</si>
  <si>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</si>
  <si>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</si>
  <si>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</si>
  <si>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</si>
  <si>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</si>
  <si>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</si>
  <si>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</si>
  <si>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</si>
  <si>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</si>
  <si>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</si>
  <si>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</si>
  <si>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</si>
  <si>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</si>
  <si>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</si>
  <si>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</si>
  <si>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</si>
  <si>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</si>
  <si>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</si>
  <si>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</si>
  <si>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</si>
  <si>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</si>
  <si>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</si>
  <si>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</si>
  <si>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</si>
  <si>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</si>
  <si>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</si>
  <si>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</si>
  <si>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</si>
  <si>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</si>
  <si>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</si>
  <si>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</si>
  <si>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</si>
  <si>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</si>
  <si>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</si>
  <si>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</si>
  <si>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</si>
  <si>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</si>
  <si>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</si>
  <si>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Selected Case</t>
  </si>
  <si>
    <t>X</t>
  </si>
  <si>
    <t>Driver Assumptions</t>
  </si>
  <si>
    <t>Revenue Growth</t>
  </si>
  <si>
    <t>Case 1: Downside Case</t>
  </si>
  <si>
    <t/>
  </si>
  <si>
    <t>Case 3: Upside Case</t>
  </si>
  <si>
    <t/>
  </si>
  <si>
    <t/>
  </si>
  <si>
    <t/>
  </si>
  <si>
    <t>($ in millions, unless stated otherwise)</t>
  </si>
  <si>
    <t>General Assumptions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</si>
  <si>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</si>
  <si>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</si>
  <si>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</si>
  <si>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</si>
  <si>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</si>
  <si>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</si>
  <si>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</si>
  <si>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</si>
  <si>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</si>
  <si>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</si>
  <si>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</si>
  <si>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</si>
  <si>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</si>
  <si>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</si>
  <si>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</si>
  <si>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</si>
  <si>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</si>
  <si>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</si>
  <si>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</si>
  <si>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Financing Assumptions</t>
  </si>
  <si>
    <t>Commitment Fee</t>
  </si>
  <si>
    <t>Commitment</t>
  </si>
  <si>
    <t>Amount</t>
  </si>
  <si>
    <t/>
  </si>
  <si>
    <t/>
  </si>
  <si>
    <t>SOFR Floor</t>
  </si>
  <si>
    <t>% Amort.</t>
  </si>
  <si>
    <t/>
  </si>
  <si>
    <t>Fee (%)</t>
  </si>
  <si>
    <t>Fee ($)</t>
  </si>
  <si>
    <t/>
  </si>
  <si>
    <t/>
  </si>
  <si>
    <t/>
  </si>
  <si>
    <t/>
  </si>
  <si>
    <t/>
  </si>
  <si>
    <t/>
  </si>
  <si>
    <t>Total Sources</t>
  </si>
  <si>
    <t>Total Uses</t>
  </si>
  <si>
    <t/>
  </si>
  <si>
    <t>Fiscal Year Ending Dec-31</t>
  </si>
  <si>
    <t>CAGRs</t>
  </si>
  <si>
    <t/>
  </si>
  <si>
    <t/>
  </si>
  <si>
    <t>% Growth</t>
  </si>
  <si>
    <t/>
  </si>
  <si>
    <t/>
  </si>
  <si>
    <t/>
  </si>
  <si>
    <t>% Margin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</si>
  <si>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</si>
  <si>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</si>
  <si>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</si>
  <si>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</si>
  <si>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</si>
  <si>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</si>
  <si>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</si>
  <si>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</si>
  <si>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</si>
  <si>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</si>
  <si>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</si>
  <si>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</si>
  <si>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</si>
  <si>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</si>
  <si>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</si>
  <si>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</si>
  <si>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</si>
  <si>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</si>
  <si>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</si>
  <si>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</si>
  <si>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</si>
  <si>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</si>
  <si>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Excess Cash</t>
  </si>
  <si>
    <t>Beginning Cash Balance</t>
  </si>
  <si>
    <t/>
  </si>
  <si>
    <t>Ending Cash Balance</t>
  </si>
  <si>
    <t>Debt Waterfall</t>
  </si>
  <si>
    <t/>
  </si>
  <si>
    <t>Beginning Balance</t>
  </si>
  <si>
    <t>Ending Balance</t>
  </si>
  <si>
    <t>Interest Expense</t>
  </si>
  <si>
    <t>Unused Commitment Fee</t>
  </si>
  <si>
    <t>Term Loan</t>
  </si>
  <si>
    <t/>
  </si>
  <si>
    <t>Credit Metrics:</t>
  </si>
  <si>
    <t/>
  </si>
  <si>
    <t>Total Net Debt</t>
  </si>
  <si>
    <t/>
  </si>
  <si>
    <t/>
  </si>
  <si>
    <t>Total Interest Expense</t>
  </si>
  <si>
    <t/>
  </si>
  <si>
    <t/>
  </si>
  <si>
    <t/>
  </si>
  <si>
    <t/>
  </si>
  <si>
    <t/>
  </si>
  <si>
    <t>Exit Enterprise Value</t>
  </si>
  <si>
    <t/>
  </si>
  <si>
    <t>Exit Equity Value</t>
  </si>
  <si>
    <t>IRR</t>
  </si>
  <si>
    <t>MOIC</t>
  </si>
  <si>
    <t/>
  </si>
  <si>
    <t/>
  </si>
  <si>
    <t/>
  </si>
  <si>
    <t/>
  </si>
  <si>
    <t/>
  </si>
  <si>
    <t/>
  </si>
  <si>
    <t/>
  </si>
  <si>
    <t/>
  </si>
  <si>
    <t/>
  </si>
  <si>
    <t/>
  </si>
  <si>
    <t>Historicals</t>
  </si>
  <si>
    <t>Projections</t>
  </si>
  <si>
    <t/>
  </si>
  <si>
    <t/>
  </si>
  <si>
    <t/>
  </si>
  <si>
    <t/>
  </si>
  <si>
    <t/>
  </si>
  <si>
    <t/>
  </si>
  <si>
    <t/>
  </si>
  <si>
    <t/>
  </si>
  <si>
    <t/>
  </si>
  <si>
    <t>Income Statement</t>
  </si>
  <si>
    <t/>
  </si>
  <si>
    <t/>
  </si>
  <si>
    <t/>
  </si>
  <si>
    <t/>
  </si>
  <si>
    <t/>
  </si>
  <si>
    <t/>
  </si>
  <si>
    <t>Currency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</si>
  <si>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</si>
  <si>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</si>
  <si>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</si>
  <si>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</si>
  <si>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</si>
  <si>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</si>
  <si>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</si>
  <si>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</si>
  <si>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</si>
  <si>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</si>
  <si>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</si>
  <si>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</si>
  <si>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</si>
  <si>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</si>
  <si>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</si>
  <si>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</si>
  <si>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</si>
  <si>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</si>
  <si>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</si>
  <si>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</si>
  <si>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</si>
  <si>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</si>
  <si>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</si>
  <si>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</si>
  <si>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</si>
  <si>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</si>
  <si>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</si>
  <si>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</si>
  <si>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</si>
  <si>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</si>
  <si>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</si>
  <si>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</si>
  <si>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</si>
  <si>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</si>
  <si>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</si>
  <si>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</si>
  <si>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</si>
  <si>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</si>
  <si>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</si>
  <si>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</si>
  <si>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</si>
  <si>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</si>
  <si>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</si>
  <si>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</si>
  <si>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</si>
  <si>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</si>
  <si>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</si>
  <si>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</si>
  <si>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Supplemental Items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</si>
  <si>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</si>
  <si>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</si>
  <si>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</si>
  <si>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</si>
  <si>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</si>
  <si>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</si>
  <si>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</si>
  <si>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</si>
  <si>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</si>
  <si>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</si>
  <si>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</si>
  <si>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</si>
  <si>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</si>
  <si>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</si>
  <si>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</si>
  <si>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</si>
  <si>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</si>
  <si>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</si>
  <si>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</si>
  <si>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</si>
  <si>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</si>
  <si>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</si>
  <si>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</si>
  <si>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</si>
  <si>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</si>
  <si>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</si>
  <si>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</si>
  <si>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</si>
  <si>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</si>
  <si>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</si>
  <si>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</si>
  <si>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</si>
  <si>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</si>
  <si>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</si>
  <si>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Balance Sheet</t>
  </si>
  <si>
    <t/>
  </si>
  <si>
    <t>ASSETS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</si>
  <si>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</si>
  <si>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</si>
  <si>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</si>
  <si>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</si>
  <si>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</si>
  <si>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</si>
  <si>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</si>
  <si>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</si>
  <si>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</si>
  <si>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</si>
  <si>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</si>
  <si>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</si>
  <si>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</si>
  <si>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</si>
  <si>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</si>
  <si>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</si>
  <si>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</si>
  <si>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</si>
  <si>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LIABILITIES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</si>
  <si>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</si>
  <si>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</si>
  <si>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</si>
  <si>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</si>
  <si>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</si>
  <si>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</si>
  <si>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</si>
  <si>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</si>
  <si>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</si>
  <si>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</si>
  <si>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</si>
  <si>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</si>
  <si>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</si>
  <si>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</si>
  <si>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</si>
  <si>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</si>
  <si>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</si>
  <si>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</si>
  <si>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</si>
  <si>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</si>
  <si>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</si>
  <si>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</si>
  <si>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</si>
  <si>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</si>
  <si>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</si>
  <si>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</si>
  <si>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</si>
  <si>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</si>
  <si>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</si>
  <si>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</si>
  <si>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</si>
  <si>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</si>
  <si>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</si>
  <si>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</si>
  <si>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</si>
  <si>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</si>
  <si>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</si>
  <si>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</si>
  <si>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Cash Flow</t>
  </si>
  <si>
    <t/>
  </si>
  <si>
    <t/>
  </si>
  <si>
    <t>12 months
Dec-31-2022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</si>
  <si>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</si>
  <si>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</si>
  <si>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</si>
  <si>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</si>
  <si>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</si>
  <si>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</si>
  <si>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</si>
  <si>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</si>
  <si>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</si>
  <si>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</si>
  <si>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</si>
  <si>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</si>
  <si>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</si>
  <si>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</si>
  <si>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</si>
  <si>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</si>
  <si>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</si>
  <si>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</si>
  <si>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</si>
  <si>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</si>
  <si>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</si>
  <si>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</si>
  <si>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</si>
  <si>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</si>
  <si>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</si>
  <si>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</si>
  <si>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</si>
  <si>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</si>
  <si>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</si>
  <si>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</si>
  <si>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</si>
  <si>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</si>
  <si>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</si>
  <si>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</si>
  <si>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</si>
  <si>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</si>
  <si>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</si>
  <si>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</si>
  <si>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For the Fiscal Period Ending</t>
  </si>
  <si>
    <t>12 months
Dec-31-2021</t>
  </si>
  <si>
    <t>12 months
Dec-31-2023</t>
  </si>
  <si>
    <t>12 months
Dec-31-2024</t>
  </si>
  <si>
    <t>12 months
Dec-31-2025</t>
  </si>
  <si>
    <t>3 months
Mar-31-2025</t>
  </si>
  <si>
    <t>3 months
Mar-31-2026</t>
  </si>
  <si>
    <t>LTM
Mar-31-2026</t>
  </si>
  <si>
    <t>USD mm</t>
  </si>
  <si>
    <t xml:space="preserve">  Gross profit</t>
  </si>
  <si>
    <t xml:space="preserve">  Total operating expenses</t>
  </si>
  <si>
    <t xml:space="preserve">  Income (loss) from operations</t>
  </si>
  <si>
    <t>Interest (income) expense, net</t>
  </si>
  <si>
    <t>Other (income) expense, net</t>
  </si>
  <si>
    <t xml:space="preserve">  Income (loss) before income taxes</t>
  </si>
  <si>
    <t>Provision for (benefit from) income taxes</t>
  </si>
  <si>
    <t xml:space="preserve">  Net income (loss)</t>
  </si>
  <si>
    <t xml:space="preserve">  Net income (loss) attributable to Clearwater</t>
  </si>
  <si>
    <t>Equity-based compensation expense</t>
  </si>
  <si>
    <t>Adjusted EBITDA (company-reported)</t>
  </si>
  <si>
    <t xml:space="preserve">  Adjusted EBITDA margin</t>
  </si>
  <si>
    <t>Balance Sheet as of:</t>
  </si>
  <si>
    <t xml:space="preserve">  Total current assets</t>
  </si>
  <si>
    <t>Debt issuance costs - line of credit</t>
  </si>
  <si>
    <t xml:space="preserve">  Total assets</t>
  </si>
  <si>
    <t xml:space="preserve">  Total current liabilities</t>
  </si>
  <si>
    <t>Notes payable, net of current portion and issuance costs</t>
  </si>
  <si>
    <t>Operating lease liability, less current portion</t>
  </si>
  <si>
    <t xml:space="preserve">  Total liabilities</t>
  </si>
  <si>
    <t>Stockholders' equity attributable to Clearwater</t>
  </si>
  <si>
    <t xml:space="preserve">  Total stockholders' equity</t>
  </si>
  <si>
    <t xml:space="preserve">  Total liabilities and stockholders' equity</t>
  </si>
  <si>
    <t>EQUITY</t>
  </si>
  <si>
    <t>OPERATING ACTIVITIES</t>
  </si>
  <si>
    <t>Deferred tax (benefit) expense</t>
  </si>
  <si>
    <t xml:space="preserve">  Net cash provided by operating activities</t>
  </si>
  <si>
    <t>INVESTING ACTIVITIES</t>
  </si>
  <si>
    <t>Purchase of held to maturity investments</t>
  </si>
  <si>
    <t>Purchase of available-for-sale investments</t>
  </si>
  <si>
    <t>Acquisition of business, net of cash acquired</t>
  </si>
  <si>
    <t>Payment of initial direct costs for operating lease</t>
  </si>
  <si>
    <t xml:space="preserve">  Net cash used in investing activities</t>
  </si>
  <si>
    <t>FINANCING ACTIVITIES</t>
  </si>
  <si>
    <t>Proceeds from issuance of common unit options</t>
  </si>
  <si>
    <t>Repurchase of common stock / units</t>
  </si>
  <si>
    <t>Payments of costs for early repayment of debt</t>
  </si>
  <si>
    <t>Proceeds from IPO, net of underwriting discounts</t>
  </si>
  <si>
    <t>Payment of costs associated with offering</t>
  </si>
  <si>
    <t xml:space="preserve">  Net cash provided by (used in) financing activities</t>
  </si>
  <si>
    <t>Effect of exchange rate changes on cash</t>
  </si>
  <si>
    <t xml:space="preserve">  Change in cash and cash equivalents</t>
  </si>
  <si>
    <t xml:space="preserve">  Cash and cash equivalents, end of period</t>
  </si>
  <si>
    <t/>
  </si>
  <si>
    <t/>
  </si>
  <si>
    <t>Offer price per share</t>
  </si>
  <si>
    <t/>
  </si>
  <si>
    <t>Target IRR, low</t>
  </si>
  <si>
    <t>Unaffected price, 10-Nov-25</t>
  </si>
  <si>
    <t>Target IRR, mid</t>
  </si>
  <si>
    <t>Premium to unaffected</t>
  </si>
  <si>
    <t>Cash tax rate</t>
  </si>
  <si>
    <t>Target IRR, high</t>
  </si>
  <si>
    <t/>
  </si>
  <si>
    <t>DTA usage cap (% of tax)</t>
  </si>
  <si>
    <t>Selected exit date</t>
  </si>
  <si>
    <t>Circularity (1 = on)</t>
  </si>
  <si>
    <t>§163(j) cap (% of EBITDA)</t>
  </si>
  <si>
    <t>Excess cash sweep (%)</t>
  </si>
  <si>
    <t>DTA, net, 31-Mar-26</t>
  </si>
  <si>
    <t>First sweep year end</t>
  </si>
  <si>
    <t>Class A shares (m)</t>
  </si>
  <si>
    <t>OpCo units exchanged (m)</t>
  </si>
  <si>
    <t>PSUs, at maximum (m)</t>
  </si>
  <si>
    <t>Options (m)</t>
  </si>
  <si>
    <t>Net option shares, TSM (m)</t>
  </si>
  <si>
    <t>Fully diluted shares (m)</t>
  </si>
  <si>
    <t>(+) Debt principal, current</t>
  </si>
  <si>
    <t>(+) Debt principal, non-current</t>
  </si>
  <si>
    <t>(–) Cash and cash equivalents</t>
  </si>
  <si>
    <t>Transaction enterprise value</t>
  </si>
  <si>
    <t>LTM Mar-26 revenue</t>
  </si>
  <si>
    <t/>
  </si>
  <si>
    <t/>
  </si>
  <si>
    <t/>
  </si>
  <si>
    <t>TEV / LTM revenue</t>
  </si>
  <si>
    <t>Drawn at Close</t>
  </si>
  <si>
    <t>x LTM EBITDA</t>
  </si>
  <si>
    <t>Margin</t>
  </si>
  <si>
    <t>Tenor (Years)</t>
  </si>
  <si>
    <t>Term SOFR, held flat</t>
  </si>
  <si>
    <t>PIK share of margin</t>
  </si>
  <si>
    <t>Revolver fee step-down, each</t>
  </si>
  <si>
    <t>Existing debt rate, Q1'26</t>
  </si>
  <si>
    <t>PIK step-up (paid in kind)</t>
  </si>
  <si>
    <t>Existing term loan margin</t>
  </si>
  <si>
    <t>PIK election (1 = on)</t>
  </si>
  <si>
    <t>Margin step-down</t>
  </si>
  <si>
    <t>DDTL fee, day 91 to year 1</t>
  </si>
  <si>
    <t>DDTL fee, after year 1</t>
  </si>
  <si>
    <t>Revolver usable at close</t>
  </si>
  <si>
    <t>Interest income rate on cash</t>
  </si>
  <si>
    <t>Sponsor Equity by Commitment Letter</t>
  </si>
  <si>
    <t>Balance sheet cash</t>
  </si>
  <si>
    <t>Sponsor equity</t>
  </si>
  <si>
    <t/>
  </si>
  <si>
    <t>Financing fees &amp; OID</t>
  </si>
  <si>
    <t>% of Total</t>
  </si>
  <si>
    <t>Funded</t>
  </si>
  <si>
    <t>Undrawn commitment headroom</t>
  </si>
  <si>
    <t>Equity / total capitalization</t>
  </si>
  <si>
    <t>Adj. EBITDA Margin (pre-SBC)</t>
  </si>
  <si>
    <t>SBC Expense ($m)</t>
  </si>
  <si>
    <t>Capex (% of Revenue)</t>
  </si>
  <si>
    <t>Depreciation (% of Capex)</t>
  </si>
  <si>
    <t>NWC Investment (% of Revenue)</t>
  </si>
  <si>
    <t>Contract Cost Amortization (% of Revenue)</t>
  </si>
  <si>
    <t/>
  </si>
  <si>
    <t>Adj. EBITDA (pre-SBC)</t>
  </si>
  <si>
    <t>NWC (% of revenue)</t>
  </si>
  <si>
    <t>Returns by Case (Selected Exit)</t>
  </si>
  <si>
    <t/>
  </si>
  <si>
    <t>Operating Build</t>
  </si>
  <si>
    <t/>
  </si>
  <si>
    <t/>
  </si>
  <si>
    <t>Adj. EBITDA (post-SBC)</t>
  </si>
  <si>
    <t>% of Revenue</t>
  </si>
  <si>
    <t>Adj. EBIT (post-SBC)</t>
  </si>
  <si>
    <t>(–) NWC investment</t>
  </si>
  <si>
    <t>Levered P&amp;L and Cash Flow</t>
  </si>
  <si>
    <t>Fraction of year post-close</t>
  </si>
  <si>
    <t>Adj. EBITDA (post-SBC), period</t>
  </si>
  <si>
    <t>(–) Depreciation, period</t>
  </si>
  <si>
    <t>Adj. EBIT (post-SBC), period</t>
  </si>
  <si>
    <t>Pre-tax income</t>
  </si>
  <si>
    <t>Cash Taxes</t>
  </si>
  <si>
    <t>Tax at cash tax rate</t>
  </si>
  <si>
    <t>Cash Flow from Operations after Tax and Capex</t>
  </si>
  <si>
    <t>(–) Mandatory amortization</t>
  </si>
  <si>
    <t>(+) Beginning cash less minimum cash</t>
  </si>
  <si>
    <t>Cash Available for Debt Service</t>
  </si>
  <si>
    <t>(+) Revolver drawdown / (–) paydown</t>
  </si>
  <si>
    <t>Cash Available for Term Loan Sweep</t>
  </si>
  <si>
    <t>(–) Term loan sweep</t>
  </si>
  <si>
    <t>Net Change in Cash</t>
  </si>
  <si>
    <t>Term SOFR (held flat)</t>
  </si>
  <si>
    <t>(+) Drawdown / (–) Paydown</t>
  </si>
  <si>
    <t>Commitment fee rate</t>
  </si>
  <si>
    <t>(+) PIK Interest</t>
  </si>
  <si>
    <t>(–) Mandatory Amortization</t>
  </si>
  <si>
    <t>(–) Cash Sweep</t>
  </si>
  <si>
    <t>Cash Interest Expense</t>
  </si>
  <si>
    <t>Delayed-Draw Term Loan</t>
  </si>
  <si>
    <t>Commitment fee rate, time-weighted</t>
  </si>
  <si>
    <t>Financing Fees &amp; OID</t>
  </si>
  <si>
    <t>Total Debt Outstanding (incl. PIK)</t>
  </si>
  <si>
    <t>Net Debt / Adj. EBITDA (1L net leverage)</t>
  </si>
  <si>
    <t>Total Debt / Adj. EBITDA</t>
  </si>
  <si>
    <t>Cash Interest and Fees</t>
  </si>
  <si>
    <t>PIK Interest</t>
  </si>
  <si>
    <t>Fee and OID Amortization</t>
  </si>
  <si>
    <t>Interest Income on Cash</t>
  </si>
  <si>
    <t>Adj. EBITDA (pre-SBC) / Cash Interest</t>
  </si>
  <si>
    <t>Cumulative Debt Paydown</t>
  </si>
  <si>
    <t>Returns Analysis by Exit Year</t>
  </si>
  <si>
    <t/>
  </si>
  <si>
    <t>(–) Total Debt (incl. PIK)</t>
  </si>
  <si>
    <t/>
  </si>
  <si>
    <t/>
  </si>
  <si>
    <t>Sponsor Equity Invested (excl. rollover)</t>
  </si>
  <si>
    <t>Maximum Price per Share by Target IRR</t>
  </si>
  <si>
    <t/>
  </si>
  <si>
    <t/>
  </si>
  <si>
    <t/>
  </si>
  <si>
    <t>Sponsor Cash Flows, Selected Exit</t>
  </si>
  <si>
    <t>Equity contribution</t>
  </si>
  <si>
    <t>Sponsor proceeds</t>
  </si>
  <si>
    <t>Net Cash Flow</t>
  </si>
  <si>
    <t>IRR (XIRR)</t>
  </si>
  <si>
    <t/>
  </si>
  <si>
    <t/>
  </si>
  <si>
    <t/>
  </si>
  <si>
    <t/>
  </si>
  <si>
    <t/>
  </si>
  <si>
    <t>FY21-FY25</t>
  </si>
  <si>
    <t>FY25-FY30</t>
  </si>
  <si>
    <t>Clearwater Analytics (CWAN) Take-Private: LBO Output</t>
  </si>
  <si>
    <t/>
  </si>
  <si>
    <t>x LTM</t>
  </si>
  <si>
    <t>%</t>
  </si>
  <si>
    <t>Transaction Summary</t>
  </si>
  <si>
    <t>Premium to unaffected ($16.69)</t>
  </si>
  <si>
    <t/>
  </si>
  <si>
    <t>Total debt / LTM Adj. EBITDA at close</t>
  </si>
  <si>
    <t/>
  </si>
  <si>
    <t>Selected exit</t>
  </si>
  <si>
    <t>IRR, selected exit</t>
  </si>
  <si>
    <t>MOIC, selected exit</t>
  </si>
  <si>
    <t>Returns by Exit Year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</si>
  <si>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</si>
  <si>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</si>
  <si>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</si>
  <si>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</si>
  <si>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</si>
  <si>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</si>
  <si>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</si>
  <si>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</si>
  <si>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</si>
  <si>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</si>
  <si>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</si>
  <si>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</si>
  <si>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</si>
  <si>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Total debt (incl. PIK)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</si>
  <si>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</si>
  <si>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</si>
  <si>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</si>
  <si>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</si>
  <si>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</si>
  <si>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</si>
  <si>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</si>
  <si>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</si>
  <si>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</si>
  <si>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</si>
  <si>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</si>
  <si>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</si>
  <si>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</si>
  <si>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</si>
  <si>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Mgmt. Forecasts (DEFM14A)</t>
  </si>
  <si>
    <t/>
  </si>
  <si>
    <t>Financing fees &amp; OID (% of TL)</t>
  </si>
  <si>
    <t>DDTL</t>
  </si>
  <si>
    <t/>
  </si>
  <si>
    <t/>
  </si>
  <si>
    <t>Price paid vs. offer ($/share)</t>
  </si>
  <si>
    <t/>
  </si>
  <si>
    <t>Price paid per share</t>
  </si>
  <si>
    <t/>
  </si>
  <si>
    <t/>
  </si>
  <si>
    <t>LTM Mar-26 Adj. EBITDA (pre-SBC): entry metric</t>
  </si>
  <si>
    <t>TEV / LTM Adj. EBITDA at price paid</t>
  </si>
  <si>
    <t/>
  </si>
  <si>
    <t/>
  </si>
  <si>
    <t>Sponsor Proceeds (no incentive pool)</t>
  </si>
  <si>
    <t/>
  </si>
  <si>
    <t/>
  </si>
  <si>
    <t/>
  </si>
  <si>
    <t/>
  </si>
  <si>
    <t/>
  </si>
  <si>
    <t/>
  </si>
  <si>
    <t/>
  </si>
  <si>
    <t/>
  </si>
  <si>
    <t>Exit multiple vs. entry NTM (turns)</t>
  </si>
  <si>
    <t>Entry: TEV / FY2026E (NTM) Adj. EBITDA at price paid</t>
  </si>
  <si>
    <t>Entry NTM multiple: TEV / FY2026E Adj. EBITDA at $24.55</t>
  </si>
  <si>
    <t>Exit NTM multiple (= entry, flat)</t>
  </si>
  <si>
    <t>NTM Adj. EBITDA (pre-SBC): exit metric, forward basis (next FY)</t>
  </si>
  <si>
    <t>(x) Exit NTM Multiple (= entry NTM multiple, flat)</t>
  </si>
  <si>
    <t>n.a.</t>
  </si>
  <si>
    <t/>
  </si>
  <si>
    <t/>
  </si>
  <si>
    <t>TEV / LTM Mar-26 Adj. EBITDA (reference)</t>
  </si>
  <si>
    <t>Exit: NTM Adj. EBITDA multiple (= entry, flat)</t>
  </si>
  <si>
    <t/>
  </si>
  <si>
    <t/>
  </si>
  <si>
    <t/>
  </si>
  <si>
    <t/>
  </si>
  <si>
    <t/>
  </si>
  <si>
    <t>Entry: TEV / FY2026E (NTM) Adj. EBITDA</t>
  </si>
  <si>
    <t>P&amp;L, Cash Flow and Credit Output ($ in millions)</t>
  </si>
  <si>
    <t/>
  </si>
  <si>
    <t>Exit vs. entry NTM multiple</t>
  </si>
  <si>
    <t/>
  </si>
  <si>
    <t/>
  </si>
  <si>
    <t>Case 2: Management Case</t>
  </si>
  <si>
    <t>Case 4: Outside-in Case</t>
  </si>
  <si>
    <t>Case Toggle (1 Downside, 2 Management, 3 Upside, 4 Outside-in)</t>
  </si>
  <si>
    <t>Outside-in Case Build (Clearwater's Record)</t>
  </si>
  <si>
    <t>FY2025A revenue, reported</t>
  </si>
  <si>
    <t>FY2025 revenue, pro forma full year of Enfusion and Beacon (disclosed)</t>
  </si>
  <si>
    <t>FY2024 revenue, pro forma (disclosed)</t>
  </si>
  <si>
    <t>Pro forma revenue growth, FY2025 (derived)</t>
  </si>
  <si>
    <t>FY2025 organic revenue growth (reviewer figure; reference only)</t>
  </si>
  <si>
    <t>Total ARR, Q4'25 (disclosed)</t>
  </si>
  <si>
    <t>Acquired-entity ARR, Q4'25 (disclosed)</t>
  </si>
  <si>
    <t>Core ARR, Q4'25 (derived)</t>
  </si>
  <si>
    <t>ARR, Q4'24, all core (disclosed)</t>
  </si>
  <si>
    <t>Core ARR growth, Q4'25 y/y (derived)</t>
  </si>
  <si>
    <t>Acquired-entity ARR, Q2'25 (disclosed)</t>
  </si>
  <si>
    <t>Acquired ARR growth, Q2-Q4'25 annualized (derived)</t>
  </si>
  <si>
    <t>Core share of Q4'25 ARR (derived)</t>
  </si>
  <si>
    <t>Blended FY2026 organic growth: ARR-weighted (derived)</t>
  </si>
  <si>
    <t>Net revenue retention, Q4'25 (disclosed; reference)</t>
  </si>
  <si>
    <t>Organic growth fade per year after FY2026 (assumption)</t>
  </si>
  <si>
    <t>Organic growth floor (assumption)</t>
  </si>
  <si>
    <t>Organic revenue growth (no future M&amp;A)</t>
  </si>
  <si>
    <t>Outside-in revenue</t>
  </si>
  <si>
    <t>Revenue growth vs. prior year (FY2026E vs. FY2025A reported)</t>
  </si>
  <si>
    <t>Adj. EBITDA margin, FY2021A (disclosed)</t>
  </si>
  <si>
    <t>Adj. EBITDA margin, FY2025A (disclosed)</t>
  </si>
  <si>
    <t>Average annual margin expansion, FY2021A-FY2025A (derived)</t>
  </si>
  <si>
    <t>Trend expansion captured (assumption)</t>
  </si>
  <si>
    <t>Enfusion G&amp;A cost savings target, run-rate ($m, disclosed)</t>
  </si>
  <si>
    <t>Share of savings realized by FY2025 (assumption)</t>
  </si>
  <si>
    <t>Phasing of remaining savings (assumption)</t>
  </si>
  <si>
    <t>Incremental savings ($m)</t>
  </si>
  <si>
    <t>Outside-in Adj. EBITDA margin (pre-SBC)</t>
  </si>
  <si>
    <t>SBC expense, FY2025A (disclosed)</t>
  </si>
  <si>
    <t>Unrecognized RSU expense, 31-Dec-25 ($m, disclosed)</t>
  </si>
  <si>
    <t>Weighted average recognition period (years, disclosed)</t>
  </si>
  <si>
    <t>Annual run-off of existing RSUs ($m, derived)</t>
  </si>
  <si>
    <t>SBC growth after FY2027 (% of revenue growth, assumption)</t>
  </si>
  <si>
    <t>Outside-in SBC, treated as cash cost ($m)</t>
  </si>
  <si>
    <t>Capex, % of revenue, FY2021A-FY2025A aggregate (derived)</t>
  </si>
  <si>
    <t>Intangible amortization, FY2024 ($m, disclosed)</t>
  </si>
  <si>
    <t>Intangible amortization, FY2025 ($m, disclosed)</t>
  </si>
  <si>
    <t>Depreciation % of capex, FY2024A-FY2025A (derived)</t>
  </si>
  <si>
    <t>NWC investment % of revenue, FY2023A-FY2025A excl. TRA (derived)</t>
  </si>
  <si>
    <t>Contract cost amortization % of revenue, FY2023A-FY2025A (derived)</t>
  </si>
  <si>
    <t>Revenue growth shift (pp, all years)</t>
  </si>
  <si>
    <t>Adj. EBITDA margin shift (all years)</t>
  </si>
  <si>
    <t>Entry multiple vs. offer (turns)</t>
  </si>
  <si>
    <t>Purchase Price Build</t>
  </si>
  <si>
    <t>Returns Bridge, Selected Exit ($m)</t>
  </si>
  <si>
    <t>Sponsor equity in</t>
  </si>
  <si>
    <t>(+) EBITDA growth at entry multiple</t>
  </si>
  <si>
    <t>(+) Multiple change (exit vs. entry)</t>
  </si>
  <si>
    <t>(+) Debt paydown and cash build</t>
  </si>
  <si>
    <t/>
  </si>
  <si>
    <t>Equity out (exit equity value)</t>
  </si>
  <si>
    <t>Exit equity value, returns build</t>
  </si>
  <si>
    <t>Sensitivity Tables: Outside-in Case, Selected Exit</t>
  </si>
  <si>
    <t>IRR: entry vs. exit multiple</t>
  </si>
  <si>
    <t>IRR: exit multiple vs. revenue growth</t>
  </si>
  <si>
    <t>Revenue growth shift</t>
  </si>
  <si>
    <t>IRR: exit multiple vs. Adj. EBITDA margin</t>
  </si>
  <si>
    <t>Adj. EBITDA margin shift</t>
  </si>
  <si>
    <t>IRR: revenue growth vs. Adj. EBITDA margin</t>
  </si>
  <si>
    <t>MOIC: entry vs. exit multiple</t>
  </si>
  <si>
    <t>FY2026E Adj. EBITDA, case before shifts (entry metric)</t>
  </si>
  <si>
    <t>Price @ 22.5%</t>
  </si>
  <si>
    <t>Case Engine: Management vs. Outside-in (data table on the case toggle)</t>
  </si>
  <si>
    <t>Management</t>
  </si>
  <si>
    <t>Outside-in</t>
  </si>
  <si>
    <t>Case toggle value</t>
  </si>
  <si>
    <t>Revenue 2026E</t>
  </si>
  <si>
    <t>Revenue 2027E</t>
  </si>
  <si>
    <t>Revenue 2028E</t>
  </si>
  <si>
    <t>Revenue 2029E</t>
  </si>
  <si>
    <t>Revenue 2030E</t>
  </si>
  <si>
    <t>Revenue 2031E</t>
  </si>
  <si>
    <t>Revenue growth 2026E</t>
  </si>
  <si>
    <t>Revenue growth 2027E</t>
  </si>
  <si>
    <t>Revenue growth 2028E</t>
  </si>
  <si>
    <t>Revenue growth 2029E</t>
  </si>
  <si>
    <t>Revenue growth 2030E</t>
  </si>
  <si>
    <t>Revenue growth 2031E</t>
  </si>
  <si>
    <t>Adj. EBITDA (pre-SBC) 2026E</t>
  </si>
  <si>
    <t>Adj. EBITDA (pre-SBC) 2027E</t>
  </si>
  <si>
    <t>Adj. EBITDA (pre-SBC) 2028E</t>
  </si>
  <si>
    <t>Adj. EBITDA (pre-SBC) 2029E</t>
  </si>
  <si>
    <t>Adj. EBITDA (pre-SBC) 2030E</t>
  </si>
  <si>
    <t>Adj. EBITDA (pre-SBC) 2031E</t>
  </si>
  <si>
    <t>Adj. EBITDA margin 2026E</t>
  </si>
  <si>
    <t>Adj. EBITDA margin 2027E</t>
  </si>
  <si>
    <t>Adj. EBITDA margin 2028E</t>
  </si>
  <si>
    <t>Adj. EBITDA margin 2029E</t>
  </si>
  <si>
    <t>Adj. EBITDA margin 2030E</t>
  </si>
  <si>
    <t>Adj. EBITDA margin 2031E</t>
  </si>
  <si>
    <t>FCF after tax and capex, pre-interest (FY2026E from close) 2026E</t>
  </si>
  <si>
    <t>FCF after tax and capex, pre-interest (FY2026E from close) 2027E</t>
  </si>
  <si>
    <t>FCF after tax and capex, pre-interest (FY2026E from close) 2028E</t>
  </si>
  <si>
    <t>FCF after tax and capex, pre-interest (FY2026E from close) 2029E</t>
  </si>
  <si>
    <t>FCF after tax and capex, pre-interest (FY2026E from close) 2030E</t>
  </si>
  <si>
    <t>FCF after tax and capex, pre-interest (FY2026E from close) 2031E</t>
  </si>
  <si>
    <t>Total debt 2026E</t>
  </si>
  <si>
    <t>Total debt 2027E</t>
  </si>
  <si>
    <t>Total debt 2028E</t>
  </si>
  <si>
    <t>Total debt 2029E</t>
  </si>
  <si>
    <t>Total debt 2030E</t>
  </si>
  <si>
    <t>Total debt 2031E</t>
  </si>
  <si>
    <t>Cash 2026E</t>
  </si>
  <si>
    <t>Cash 2027E</t>
  </si>
  <si>
    <t>Cash 2028E</t>
  </si>
  <si>
    <t>Cash 2029E</t>
  </si>
  <si>
    <t>Cash 2030E</t>
  </si>
  <si>
    <t>Cash 2031E</t>
  </si>
  <si>
    <t>Net debt 2026E</t>
  </si>
  <si>
    <t>Net debt 2027E</t>
  </si>
  <si>
    <t>Net debt 2028E</t>
  </si>
  <si>
    <t>Net debt 2029E</t>
  </si>
  <si>
    <t>Net debt 2030E</t>
  </si>
  <si>
    <t>Net debt 2031E</t>
  </si>
  <si>
    <t>Total debt / Adj. EBITDA 2026E</t>
  </si>
  <si>
    <t>Total debt / Adj. EBITDA 2027E</t>
  </si>
  <si>
    <t>Total debt / Adj. EBITDA 2028E</t>
  </si>
  <si>
    <t>Total debt / Adj. EBITDA 2029E</t>
  </si>
  <si>
    <t>Total debt / Adj. EBITDA 2030E</t>
  </si>
  <si>
    <t>Total debt / Adj. EBITDA 2031E</t>
  </si>
  <si>
    <t>Net debt / Adj. EBITDA 2026E</t>
  </si>
  <si>
    <t>Net debt / Adj. EBITDA 2027E</t>
  </si>
  <si>
    <t>Net debt / Adj. EBITDA 2028E</t>
  </si>
  <si>
    <t>Net debt / Adj. EBITDA 2029E</t>
  </si>
  <si>
    <t>Net debt / Adj. EBITDA 2030E</t>
  </si>
  <si>
    <t>Net debt / Adj. EBITDA 2031E</t>
  </si>
  <si>
    <t>Adj. EBITDA / cash interest 2026E</t>
  </si>
  <si>
    <t>Adj. EBITDA / cash interest 2027E</t>
  </si>
  <si>
    <t>Adj. EBITDA / cash interest 2028E</t>
  </si>
  <si>
    <t>Adj. EBITDA / cash interest 2029E</t>
  </si>
  <si>
    <t>Adj. EBITDA / cash interest 2030E</t>
  </si>
  <si>
    <t>Adj. EBITDA / cash interest 2031E</t>
  </si>
  <si>
    <t>Exit NTM multiple 2027E</t>
  </si>
  <si>
    <t>Exit NTM multiple 2028E</t>
  </si>
  <si>
    <t>Exit NTM multiple 2029E</t>
  </si>
  <si>
    <t>Exit NTM multiple 2030E</t>
  </si>
  <si>
    <t>NTM Adj. EBITDA 2027E</t>
  </si>
  <si>
    <t>NTM Adj. EBITDA 2028E</t>
  </si>
  <si>
    <t>NTM Adj. EBITDA 2029E</t>
  </si>
  <si>
    <t>NTM Adj. EBITDA 2030E</t>
  </si>
  <si>
    <t>Exit enterprise value 2027E</t>
  </si>
  <si>
    <t>Exit enterprise value 2028E</t>
  </si>
  <si>
    <t>Exit enterprise value 2029E</t>
  </si>
  <si>
    <t>Exit enterprise value 2030E</t>
  </si>
  <si>
    <t>Less: net debt at exit 2027E</t>
  </si>
  <si>
    <t>Less: net debt at exit 2028E</t>
  </si>
  <si>
    <t>Less: net debt at exit 2029E</t>
  </si>
  <si>
    <t>Less: net debt at exit 2030E</t>
  </si>
  <si>
    <t>Exit equity value 2027E</t>
  </si>
  <si>
    <t>Exit equity value 2028E</t>
  </si>
  <si>
    <t>Exit equity value 2029E</t>
  </si>
  <si>
    <t>Exit equity value 2030E</t>
  </si>
  <si>
    <t>Sponsor equity invested 2027E</t>
  </si>
  <si>
    <t>Sponsor equity invested 2028E</t>
  </si>
  <si>
    <t>Sponsor equity invested 2029E</t>
  </si>
  <si>
    <t>Sponsor equity invested 2030E</t>
  </si>
  <si>
    <t>MOIC 2027E</t>
  </si>
  <si>
    <t>MOIC 2028E</t>
  </si>
  <si>
    <t>MOIC 2029E</t>
  </si>
  <si>
    <t>MOIC 2030E</t>
  </si>
  <si>
    <t>IRR 2027E</t>
  </si>
  <si>
    <t>IRR 2028E</t>
  </si>
  <si>
    <t>IRR 2029E</t>
  </si>
  <si>
    <t>IRR 2030E</t>
  </si>
  <si>
    <t>Bridge: Sponsor equity in</t>
  </si>
  <si>
    <t>Bridge: EBITDA growth</t>
  </si>
  <si>
    <t>Bridge: Multiple change</t>
  </si>
  <si>
    <t>Bridge: Debt paydown and cash build</t>
  </si>
  <si>
    <t/>
  </si>
  <si>
    <t>Bridge: Equity out</t>
  </si>
  <si>
    <t>Entry / exit NTM multiple</t>
  </si>
  <si>
    <t>Sensitivity Tables: Outside-in Case, FY2030 Exit</t>
  </si>
  <si>
    <t>Revenue growth shift (pp)</t>
  </si>
  <si>
    <t>Shares (m)</t>
  </si>
  <si>
    <t>$m</t>
  </si>
  <si>
    <t>Class A shares, 15-Dec-25</t>
  </si>
  <si>
    <t>OpCo units exchanged into Class A</t>
  </si>
  <si>
    <t/>
  </si>
  <si>
    <t/>
  </si>
  <si>
    <t>Options outstanding (weighted average strike $9.09)</t>
  </si>
  <si>
    <t>Net option shares, treasury stock method</t>
  </si>
  <si>
    <t>Fully diluted shares / equity purchase price</t>
  </si>
  <si>
    <t>(+) Existing debt, current</t>
  </si>
  <si>
    <t>(+) Existing debt, non-current</t>
  </si>
  <si>
    <t>(–) Cash and cash equivalents, 31-Mar-26</t>
  </si>
  <si>
    <t>Check: equity purchase price vs. Model</t>
  </si>
  <si>
    <t>Returns Bridge, FY2030 Exit ($m)</t>
  </si>
  <si>
    <t>(+) Multiple change (flat multiple)</t>
  </si>
  <si>
    <t/>
  </si>
  <si>
    <t>Management vs. Outside-in Case</t>
  </si>
  <si>
    <t>FCF after tax and capex, pre-interest (FY2026E from close)</t>
  </si>
  <si>
    <t>Debt Schedule: Credit Statistics by Case</t>
  </si>
  <si>
    <t>Cash</t>
  </si>
  <si>
    <t>Net debt</t>
  </si>
  <si>
    <t>Total debt / Adj. EBITDA (gross leverage)</t>
  </si>
  <si>
    <t>Net debt / Adj. EBITDA (net leverage)</t>
  </si>
  <si>
    <t>Adj. EBITDA / cash interest (coverage)</t>
  </si>
  <si>
    <t>Returns Build by Exit Year: NTM Basis, Flat Multiple</t>
  </si>
  <si>
    <t>Exit NTM multiple (= entry)</t>
  </si>
  <si>
    <t>NTM Adj. EBITDA (pre-SBC)</t>
  </si>
  <si>
    <t>(–) Net debt at exit</t>
  </si>
  <si>
    <t>Sponsor equity invested</t>
  </si>
  <si>
    <t>Financing Terms</t>
  </si>
  <si>
    <t>Size</t>
  </si>
  <si>
    <t>PIK election</t>
  </si>
  <si>
    <t>OID / financing fees</t>
  </si>
  <si>
    <t>Tenor / amortization</t>
  </si>
  <si>
    <t>Prepayment premium</t>
  </si>
  <si>
    <t>1.00% on voluntary prepayments in the first 12 months; sweep starts FY2027, after the window</t>
  </si>
  <si>
    <t>Size / purpose</t>
  </si>
  <si>
    <t>Availability / fees</t>
  </si>
  <si>
    <t>At close</t>
  </si>
  <si>
    <t>Undrawn; no draws modeled (no future M&amp;A)</t>
  </si>
  <si>
    <t>Fees</t>
  </si>
  <si>
    <t>Undrawn; draws only to cover a cash shortfall</t>
  </si>
  <si>
    <t>Equity (four equity commitment letters)</t>
  </si>
  <si>
    <t>Clearwater Analytics (CWAN) Take-Private: Sensitivity and Scenario Analysis</t>
  </si>
  <si>
    <t>($ in millions, except per share); returns at the FY2030 exit unless stated</t>
  </si>
  <si>
    <t>Sensitivity Inputs</t>
  </si>
  <si>
    <t>Entry price per share ($)</t>
  </si>
  <si>
    <t>Opening term loan vs. committed (x LTM Adj. EBITDA)</t>
  </si>
  <si>
    <t>Adj. EBITDA margin shift (pp, all years)</t>
  </si>
  <si>
    <t>SBC treated as cash (%)</t>
  </si>
  <si>
    <t>Term SOFR shift (bps)</t>
  </si>
  <si>
    <t>Capex shift (pp of revenue)</t>
  </si>
  <si>
    <t>NWC investment shift (pp of revenue)</t>
  </si>
  <si>
    <t>Minimum cash ($m)</t>
  </si>
  <si>
    <t>Case override (0 = case toggle)</t>
  </si>
  <si>
    <t>Tornado driver run (0 = off)</t>
  </si>
  <si>
    <t>Tornado end (1 = low, 2 = high)</t>
  </si>
  <si>
    <t>Tie-out to LBO Model (Outside-in, FY2030 Exit)</t>
  </si>
  <si>
    <t>Tornado #</t>
  </si>
  <si>
    <t>Input</t>
  </si>
  <si>
    <t>This file</t>
  </si>
  <si>
    <t>LBO model</t>
  </si>
  <si>
    <t>Adj. EBITDA (post cash-settled SBC), period</t>
  </si>
  <si>
    <t>Live case (Sensitivities override, else toggle)</t>
  </si>
  <si>
    <t>vs. Base (pp)</t>
  </si>
  <si>
    <t>IRR: Entry Price per Share vs. Exit Multiple</t>
  </si>
  <si>
    <t>MOIC: Exit Year vs. Opening Leverage</t>
  </si>
  <si>
    <t>IRR: Revenue Growth vs. Adj. EBITDA Margin Shift</t>
  </si>
  <si>
    <t>FY2030E Adj. EBITDA margin</t>
  </si>
  <si>
    <t>Driver Ranking: FY2030 IRR, One Input at a Time</t>
  </si>
  <si>
    <t>Organic revenue growth (pp, all years)</t>
  </si>
  <si>
    <t>Adj. EBITDA margin (pp, all years)</t>
  </si>
  <si>
    <t>Exit multiple vs. entry (turns)</t>
  </si>
  <si>
    <t>Term SOFR (bps vs. 3.53% flat)</t>
  </si>
  <si>
    <t>Capex (pp of revenue)</t>
  </si>
  <si>
    <t>NWC investment (pp of revenue)</t>
  </si>
  <si>
    <t>Tornado: Drivers Ranked by IRR Swing</t>
  </si>
  <si>
    <t>Base IRR</t>
  </si>
  <si>
    <t>Exit NTM (x)</t>
  </si>
  <si>
    <t>Debt / LTM (x)</t>
  </si>
  <si>
    <t>FY27-30E growth</t>
  </si>
  <si>
    <t>Low</t>
  </si>
  <si>
    <t/>
  </si>
  <si>
    <t/>
  </si>
  <si>
    <t>High</t>
  </si>
  <si>
    <t>IRR, low</t>
  </si>
  <si>
    <t>IRR at</t>
  </si>
  <si>
    <t>IRR, high</t>
  </si>
  <si>
    <t>Swing</t>
  </si>
  <si>
    <t>Low vs. base</t>
  </si>
  <si>
    <t>Basis for range</t>
  </si>
  <si>
    <t>+/-2pp: about a third of new-logo growth (14.6% base less ~9pp from 109% NRR)</t>
  </si>
  <si>
    <t>+/-2pp: about 1.5 years of the FY21-25 average expansion (1.27pp a year)</t>
  </si>
  <si>
    <t>+/-2.0x (about 8%) around the 25.0x flat entry NTM multiple</t>
  </si>
  <si>
    <t>+/-$1.00 (about 4%) around the $24.55 offer</t>
  </si>
  <si>
    <t/>
  </si>
  <si>
    <t>+/-100bps around Term SOFR held flat; the 0.50% floor does not bind</t>
  </si>
  <si>
    <t>Term-sheet option: all-cash margin vs. 50% of margin in kind to Jun-28</t>
  </si>
  <si>
    <t>FY21-25 capex ran 1.2%-2.6% of revenue vs. the 1.7% base</t>
  </si>
  <si>
    <t>Low is management's 2.0%; high mirrors it at 3.4% vs. the 2.7% record</t>
  </si>
  <si>
    <t/>
  </si>
  <si>
    <t>$50m-$150m around the $81.5m Mar-26 cash balance</t>
  </si>
  <si>
    <t>High vs. base</t>
  </si>
  <si>
    <t>+0.0"pp";(0.0"pp");0.0"pp"</t>
  </si>
  <si>
    <t>+0.0"x";(0.0"x");0.0"x"</t>
  </si>
  <si>
    <t>"$"0.00</t>
  </si>
  <si>
    <t>+0"bps";(0"bps");0"bps"</t>
  </si>
  <si>
    <t>"On";"On";"Off"</t>
  </si>
  <si>
    <t>"$"#,##0</t>
  </si>
  <si>
    <t>0%</t>
  </si>
  <si>
    <t/>
  </si>
  <si>
    <t>Scenario Summary: FY2030</t>
  </si>
  <si>
    <t>Live case (case toggle)</t>
  </si>
  <si>
    <t>Base (Outside-in)</t>
  </si>
  <si>
    <t>Check: Downside IRR below Base</t>
  </si>
  <si>
    <t>Scenario Drivers by Case (Driver Assumptions)</t>
  </si>
  <si>
    <t>Revenue growth</t>
  </si>
  <si>
    <t>Adj. EBITDA margin (pre-SBC)</t>
  </si>
  <si>
    <t>SBC expense ($m)</t>
  </si>
  <si>
    <t>NWC investment (% of revenue)</t>
  </si>
  <si>
    <t>Breakevens: FY2030 Exit</t>
  </si>
  <si>
    <t>Target IRR</t>
  </si>
  <si>
    <t>Target MOIC (x)</t>
  </si>
  <si>
    <t>Exit NTM multiple (x)</t>
  </si>
  <si>
    <t>Change vs. base (turns)</t>
  </si>
  <si>
    <t>FY2027-30E avg. revenue growth</t>
  </si>
  <si>
    <t>Breakeven Grids (data tables)</t>
  </si>
  <si>
    <t>Growth: IRR</t>
  </si>
  <si>
    <t>vs. Base</t>
  </si>
  <si>
    <t>Adj. EBITDA</t>
  </si>
  <si>
    <t>Debt / EBITDA</t>
  </si>
  <si>
    <t>Growth: MOIC</t>
  </si>
  <si>
    <t>EBITDA / int.</t>
  </si>
  <si>
    <t>Margin: IRR</t>
  </si>
  <si>
    <t>Price @ 20% IRR</t>
  </si>
  <si>
    <t/>
  </si>
  <si>
    <t/>
  </si>
  <si>
    <t>Margin: MOIC</t>
  </si>
  <si>
    <t/>
  </si>
  <si>
    <t/>
  </si>
  <si>
    <t>Exit vs. entry</t>
  </si>
  <si>
    <t>Leverage shift</t>
  </si>
  <si>
    <t>Growth shift</t>
  </si>
  <si>
    <t>NTM EBITDA</t>
  </si>
  <si>
    <t>Equity in</t>
  </si>
  <si>
    <t>Exit mult.</t>
  </si>
  <si>
    <t>Years</t>
  </si>
  <si>
    <t>Sort key</t>
  </si>
  <si>
    <t>Format</t>
  </si>
  <si>
    <t>Chart label</t>
  </si>
  <si>
    <t>Revenue growth ±2pp</t>
  </si>
  <si>
    <t>EBITDA margin ±2pp</t>
  </si>
  <si>
    <t>Exit multiple ±2.0x</t>
  </si>
  <si>
    <t>Entry price ±$1.00</t>
  </si>
  <si>
    <t>SBC as cash 50% / 100%</t>
  </si>
  <si>
    <t>SOFR ±100bps</t>
  </si>
  <si>
    <t>PIK off / on</t>
  </si>
  <si>
    <t>Capex (0.5pp) / +0.9pp</t>
  </si>
  <si>
    <t>NWC ±0.7pp</t>
  </si>
  <si>
    <t/>
  </si>
  <si>
    <t>Minimum cash $50m / $150m</t>
  </si>
  <si>
    <t>Clearwater Analytics (CWAN) Take-Private: Sensitivity Output</t>
  </si>
  <si>
    <t>($ in millions, except per share); FY2030 exit; Outside-in case unless stated</t>
  </si>
  <si>
    <t/>
  </si>
  <si>
    <t>Source: CWAN LBO model (Compound); Sensitivities tab. Grids are live Excel data tables; breakevens interpolate data-table grids (growth, margin) or solve the exit equity value (multiple).</t>
  </si>
  <si>
    <t/>
  </si>
  <si>
    <t>Price @ 20%</t>
  </si>
  <si>
    <t>Exit NTM</t>
  </si>
  <si>
    <t>Director RSUs at offer: Aghi, Aigrain ($m)</t>
  </si>
  <si>
    <t>Director RSUs at offer: Jones, NieuweWeme ($m)</t>
  </si>
  <si>
    <t>Closing Consideration and Deferred Awards</t>
  </si>
  <si>
    <t/>
  </si>
  <si>
    <t/>
  </si>
  <si>
    <t>RSUs, non-employee directors (paid at close)</t>
  </si>
  <si>
    <t>Other awards vested at close</t>
  </si>
  <si>
    <t>RSUs, other: cash award, time-vesting</t>
  </si>
  <si>
    <t>PSUs at maximum: cash award, time-vesting</t>
  </si>
  <si>
    <t>Enfusion committed awards</t>
  </si>
  <si>
    <t>Check: vs. shares and equity purchase price</t>
  </si>
  <si>
    <t/>
  </si>
  <si>
    <t/>
  </si>
  <si>
    <t/>
  </si>
  <si>
    <t>Share of payout in period (even, close to payout end)</t>
  </si>
  <si>
    <t/>
  </si>
  <si>
    <t>Ending balance, net of tax (deducted at exit)</t>
  </si>
  <si>
    <t>(–) Deferred award liability, net of tax</t>
  </si>
  <si>
    <t>(–) Merger costs and financing fees</t>
  </si>
  <si>
    <t>(+) Deferred awards assumed at close, less unpaid at exit</t>
  </si>
  <si>
    <t>Units (m)</t>
  </si>
  <si>
    <t>At close ($m)</t>
  </si>
  <si>
    <t>Company merger costs ($m)</t>
  </si>
  <si>
    <t>Deferred award payout ends</t>
  </si>
  <si>
    <t>Enfusion awards vested at close (%)</t>
  </si>
  <si>
    <t>Equity consideration paid at closing</t>
  </si>
  <si>
    <t>Company merger costs</t>
  </si>
  <si>
    <t>Deferred ($m)</t>
  </si>
  <si>
    <t>Total ($m)</t>
  </si>
  <si>
    <t>Deferred award payout period (months)</t>
  </si>
  <si>
    <t>Other awards vested at close (m)</t>
  </si>
  <si>
    <t>Reconciliation to Closing 8-K</t>
  </si>
  <si>
    <t>Consideration paid at closing</t>
  </si>
  <si>
    <t>Sponsor equity funded</t>
  </si>
  <si>
    <t>Debt funded at close</t>
  </si>
  <si>
    <t>Class A shares, 4-May-26 (m)</t>
  </si>
  <si>
    <t>Class B shares, 4-May-26 (m)</t>
  </si>
  <si>
    <t/>
  </si>
  <si>
    <t/>
  </si>
  <si>
    <t/>
  </si>
  <si>
    <t>Model</t>
  </si>
  <si>
    <t>8-K (approx.)</t>
  </si>
  <si>
    <t>Enfusion committed SBC at offer ($m)</t>
  </si>
  <si>
    <t>Enfusion committed awards (m)</t>
  </si>
  <si>
    <t/>
  </si>
  <si>
    <t/>
  </si>
  <si>
    <t>PSUs at maximum (cash award, paid as they vest)</t>
  </si>
  <si>
    <t>Enfusion committed awards ($16.7m at offer)</t>
  </si>
  <si>
    <t>Memo: equity purchase price paid at closing</t>
  </si>
  <si>
    <t>(+) Deferred awards, net of fees at entry</t>
  </si>
  <si>
    <t>Bridge: Deferred awards, net of fees</t>
  </si>
  <si>
    <t>$100m-$150m around the $124.1m proxy estimate (DEFM14A p. 115); range is an assumption</t>
  </si>
  <si>
    <t>Merger costs $100m / $150m</t>
  </si>
  <si>
    <t>Class A and B shares, 4-May-26 (incl. released RSUs)</t>
  </si>
  <si>
    <t>Options, net of strike (pre-close; all paid at close)</t>
  </si>
  <si>
    <t>(–) Deferred award payout above SBC as cash</t>
  </si>
  <si>
    <t>Deferred Award Liability (paid within SBC as cash)</t>
  </si>
  <si>
    <t>(–) Cash payments (part of SBC as cash)</t>
  </si>
  <si>
    <t>Memo: cash SBC from new grants (SBC as cash less payout, floored at zero)</t>
  </si>
  <si>
    <t>Shares issued since 15-Dec-25 count (m)</t>
  </si>
  <si>
    <t>Residual vs. 8-K consideration (% of 8-K)</t>
  </si>
  <si>
    <t>Residual vs. 8-K sponsor equity (% of 8-K)</t>
  </si>
  <si>
    <t>Pre-close Share Roll-forward</t>
  </si>
  <si>
    <t>Class A + Class B shares, 4-May-26 (m)</t>
  </si>
  <si>
    <t>Options exercised, Q1'26 (m)</t>
  </si>
  <si>
    <t>Strike, options exercised ($)</t>
  </si>
  <si>
    <t>Options outstanding, pre-close (m)</t>
  </si>
  <si>
    <t>Net option shares, TSM, pre-close (m)</t>
  </si>
  <si>
    <t>RSUs deferred at close (m)</t>
  </si>
  <si>
    <t>RSUs released pre-close, paid as common (m)</t>
  </si>
  <si>
    <t>Memo: RSUs released in Q1'26 (m)</t>
  </si>
  <si>
    <t>Note: SBC as cash includes the deferred award payout (Model rows 153-159). Cash SBC from new grants = SBC as cash less the payout, floored at zero; a payout above SBC is an extra cash cost and tax deduction.</t>
  </si>
  <si>
    <t>Memo: deferred award liability (paid within SBC as cash)</t>
  </si>
  <si>
    <t>RSUs (released pre-close: paid as shares; rest deferred)</t>
  </si>
  <si>
    <t>Base treats all GAAP SBC as cash, deferred award payout included; at 50%, payout above half of SBC stays a cash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</si>
</sst>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2">
    <numFmt numFmtId="164" formatCode="#,##0.0_);(#,##0.0);&quot;–&quot;_)"/>
    <numFmt numFmtId="165" formatCode="0.0%_);(0.0%);&quot;–&quot;_)"/>
    <numFmt numFmtId="166" formatCode="#,##0.000_);(#,##0.000);&quot;–&quot;_)"/>
    <numFmt numFmtId="167" formatCode="0.000&quot;x&quot;"/>
    <numFmt numFmtId="168" formatCode="&quot;FY&quot;yy&quot;A&quot;"/>
    <numFmt numFmtId="169" formatCode="&quot;FY&quot;yy&quot;E&quot;"/>
    <numFmt numFmtId="170" formatCode="&quot;Q1'&quot;yy&quot;A&quot;"/>
    <numFmt numFmtId="171" formatCode="$#,##0.00_);($#,##0.00)"/>
    <numFmt numFmtId="172" formatCode="d-mmm-yyyy"/>
    <numFmt numFmtId="173" formatCode="#,##0.0"/>
    <numFmt numFmtId="174" formatCode="0.0&quot;x&quot;_);(0.0&quot;x&quot;)"/>
    <numFmt numFmtId="175" formatCode="0.0&quot;x&quot;_);(0.0&quot;x&quot;);&quot;–&quot;_)"/>
    <numFmt numFmtId="176" formatCode="&quot;FY&quot;yyyy&quot;A&quot;"/>
    <numFmt numFmtId="177" formatCode="&quot;FY&quot;yyyy&quot;E&quot;"/>
    <numFmt numFmtId="178" formatCode="&quot;LTM &quot;mmm-yy"/>
    <numFmt numFmtId="179" formatCode="dd-mmm-yy"/>
    <numFmt numFmtId="180" formatCode="0.00&quot;x&quot;_);(0.00&quot;x&quot;);&quot;–&quot;_)"/>
    <numFmt numFmtId="181" formatCode="$#,##0.00_);($#,##0.00);&quot;–&quot;_)"/>
    <numFmt numFmtId="182" formatCode="0.00%_);(0.00%);&quot;–&quot;_)"/>
    <numFmt numFmtId="183" formatCode="0_);(0)"/>
    <numFmt numFmtId="184" formatCode="#,##0.000_);(#,##0.000)"/>
    <numFmt numFmtId="185" formatCode="#,##0.0_);(#,##0.0)"/>
    <numFmt numFmtId="186" formatCode="#,##0.00_);(#,##0.00);&quot;–&quot;_)"/>
    <numFmt numFmtId="187" formatCode="0.000%_);(0.000%);&quot;–&quot;_)"/>
    <numFmt numFmtId="188" formatCode="0&quot; bps&quot;;(0&quot; bps&quot;);&quot;0 bps&quot;"/>
    <numFmt numFmtId="189" formatCode="[=1]&quot;Mgmt SBC&quot;;[=2]&quot;13E-3 SBC&quot;;General"/>
    <numFmt numFmtId="190" formatCode="[=1]&quot;Base&quot;;[=2]&quot;Upside&quot;;&quot;Downside&quot;"/>
    <numFmt numFmtId="191" formatCode="[=1]&quot;Mgmt SBC&quot;;&quot;13E-3 SBC&quot;"/>
    <numFmt numFmtId="192" formatCode="0.00x"/>
    <numFmt numFmtId="193" formatCode="yyyy&quot;E&quot;"/>
    <numFmt numFmtId="194" formatCode="#,##0_);\(#,##0\);\-\-_)"/>
    <numFmt numFmtId="195" formatCode="#,##0.0%_);\(#,##0.0%\);\-_)"/>
    <numFmt numFmtId="196" formatCode="&quot;$&quot;#,##0.0_);\(&quot;$&quot;#,##0.0\);\-_)"/>
    <numFmt numFmtId="197" formatCode="0\ &quot;years&quot;"/>
    <numFmt numFmtId="198" formatCode="&quot;$&quot;#,##0_);\(&quot;$&quot;#,##0\);\-_)"/>
    <numFmt numFmtId="199" formatCode="#,##0.0\x_);\(#,##0.0\x\);\-_)"/>
    <numFmt numFmtId="200" formatCode="0.0%_);\(0.0%\);\-_)"/>
    <numFmt numFmtId="201" formatCode="&quot;Yes&quot;;;&quot;No&quot;"/>
    <numFmt numFmtId="202" formatCode="#,##0_);\(#,##0\);&quot;-&quot;"/>
    <numFmt numFmtId="203" formatCode="&quot;S + &quot;000"/>
    <numFmt numFmtId="204" formatCode="&quot;$&quot;#,##0.00_);\(&quot;$&quot;#,##0.00\)"/>
    <numFmt numFmtId="205" formatCode="&quot;$&quot;#,##0.0_);\(&quot;$&quot;#,##0.0\)"/>
    <numFmt numFmtId="206" formatCode="yyyy&quot;A&quot;"/>
    <numFmt numFmtId="207" formatCode="#,##0_);\(#,##0\);\-_)"/>
    <numFmt numFmtId="208" formatCode="&quot;$&quot;#,##0_);\(&quot;$&quot;#,##0\);\-\-_)"/>
    <numFmt numFmtId="209" formatCode="$#,##0.00"/>
    <numFmt numFmtId="210" formatCode="#,##0.0_);\(#,##0.0\);\-_)"/>
    <numFmt numFmtId="211" formatCode="&quot;$&quot;#,##0_);\(&quot;$&quot;#,##0\)"/>
    <numFmt numFmtId="212" formatCode=";;;"/>
    <numFmt numFmtId="213" formatCode="0.0\x_)"/>
    <numFmt numFmtId="214" formatCode="0.0\x"/>
    <numFmt numFmtId="215" formatCode="0.0%"/>
    <numFmt numFmtId="216" formatCode="0.0\x;\(0.0\x\)"/>
    <numFmt numFmtId="217" formatCode="#,##0.0%_);\(#,##0.0%\)"/>
    <numFmt numFmtId="218" formatCode="0.0\x_);\(0.0\x\)"/>
    <numFmt numFmtId="219" formatCode="#,##0.0\x"/>
    <numFmt numFmtId="220" formatCode="\$#,##0_);\(\$#,##0\)"/>
    <numFmt numFmtId="221" formatCode="0.0%_);\(0.0%\)"/>
    <numFmt numFmtId="222" formatCode="0;\(0\);&quot;-&quot;"/>
    <numFmt numFmtId="223" formatCode="0.0%_);\(0.0%\);&quot;-&quot;"/>
    <numFmt numFmtId="224" formatCode="0.0\x;\(0.0\x\);&quot;-&quot;"/>
    <numFmt numFmtId="225" formatCode="_(* #,##0.0_);_(* \(#,##0.0\)_)\ ;_(* 0_)"/>
    <numFmt numFmtId="226" formatCode="_(&quot;$&quot;#,##0.0#_);_(\(&quot;$&quot;#,##0.0#\)_);_(&quot;$&quot;&quot; - &quot;_)"/>
    <numFmt numFmtId="227" formatCode="_(* #,##0.0#_);_(* \(#,##0.0#\)_)\ ;_(* 0_)"/>
    <numFmt numFmtId="228" formatCode="_(#,##0.0%_);_(\(#,##0.0%\)_);_(#,##0.0%_)"/>
    <numFmt numFmtId="229" formatCode="mmm\-dd\-yyyy"/>
    <numFmt numFmtId="230" formatCode="_(* #,##0_);_(* \(#,##0\)_)\ ;_(* 0_)"/>
    <numFmt numFmtId="231" formatCode="mmm-dd-yyyy"/>
    <numFmt numFmtId="232" formatCode="0.0%_);\(0.0%\);&quot;-&quot;_)"/>
    <numFmt numFmtId="233" formatCode="#,##0.000_);\(#,##0.000\)"/>
    <numFmt numFmtId="234" formatCode="&quot;$&quot;#,##0_);\(&quot;$&quot;#,##0\);&quot;-&quot;_)"/>
    <numFmt numFmtId="235" formatCode="#,##0.0_);\(#,##0.0\);&quot;-&quot;_)"/>
    <numFmt numFmtId="236" formatCode="0.0\x_);\(0.0\x\);&quot;-&quot;_)"/>
    <numFmt numFmtId="237" formatCode="#,##0_);\(#,##0\);&quot;-&quot;_)"/>
    <numFmt numFmtId="238" formatCode="0.00%_);\(0.00%\);&quot;-&quot;_)"/>
    <numFmt numFmtId="239" formatCode="0.00\x"/>
    <numFmt numFmtId="240" formatCode="$0.00"/>
    <numFmt numFmtId="241" formatCode="&quot;$&quot;#,##0.00_);\(&quot;$&quot;#,##0.00\);&quot;-&quot;_)"/>
    <numFmt numFmtId="242" formatCode="0.00\x_);\(0.00\x\);&quot;-&quot;_)"/>
    <numFmt numFmtId="243" formatCode="0.000%_);\(0.000%\);&quot;-&quot;_)"/>
    <numFmt numFmtId="244" formatCode="0.00_)"/>
    <numFmt numFmtId="245" formatCode="&quot;$&quot;#,##0.0_);\(&quot;$&quot;#,##0.0\);&quot;-&quot;_)"/>
    <numFmt numFmtId="246" formatCode="#,##0.0_);\(#,##0.0\)"/>
    <numFmt numFmtId="247" formatCode="+&quot;$&quot;0.00;-&quot;$&quot;0.00;&quot;$&quot;0.00"/>
    <numFmt numFmtId="248" formatCode="+0.0\x;-0.0\x;0.0\x"/>
    <numFmt numFmtId="44" formatCode="_(&quot;$&quot;* #,##0.00_);_(&quot;$&quot;* \(#,##0.00\);_(&quot;$&quot;* &quot;-&quot;??_);_(@_)"/>
    <numFmt numFmtId="249" formatCode="#,##0_);(#,##0);&quot;–&quot;_)"/>
    <numFmt numFmtId="250" formatCode="0.0x_);(0.0x);0.0x_)"/>
    <numFmt numFmtId="251" formatCode="yyyy&quot;E&quot;_)"/>
    <numFmt numFmtId="252" formatCode="0.00x_);(0.00x);0.00x_)"/>
    <numFmt numFmtId="253" formatCode="$0.00_);($0.00);$0.00_)"/>
    <numFmt numFmtId="254" formatCode="d-mmm-yy_)"/>
    <numFmt numFmtId="255" formatCode="yyyy&quot;A&quot;_)"/>
    <numFmt numFmtId="256" formatCode="0.0_)"/>
    <numFmt numFmtId="257" formatCode="+0.0%;-0.0%;0.0%"/>
    <numFmt numFmtId="258" formatCode="+0.0x;-0.0x;0.0x"/>
    <numFmt numFmtId="259" formatCode="+0.0x;(0.0x);0.0x"/>
    <numFmt numFmtId="260" formatCode="0.0%_);(0.0%)"/>
    <numFmt numFmtId="261" formatCode="+0.0%;(0.0%);0.0%"/>
    <numFmt numFmtId="262" formatCode="0.00x_);(0.00x)"/>
    <numFmt numFmtId="263" formatCode="0.0x"/>
    <numFmt numFmtId="264" formatCode="#,##0%"/>
    <numFmt numFmtId="265" formatCode="#,##0.00%"/>
    <numFmt numFmtId="266" formatCode="&quot;$&quot;0.00"/>
    <numFmt numFmtId="267" formatCode="+0.0&quot;x&quot;;(0.0&quot;x&quot;);0.0&quot;x&quot;"/>
    <numFmt numFmtId="268" formatCode="+0.0&quot;pp&quot;;(0.0&quot;pp&quot;);0.0&quot;pp&quot;"/>
    <numFmt numFmtId="269" formatCode="+0&quot;bps&quot;;(0&quot;bps&quot;);0&quot;bps&quot;"/>
    <numFmt numFmtId="270" formatCode="&quot;On&quot;;&quot;On&quot;;&quot;Off&quot;"/>
    <numFmt numFmtId="271" formatCode="&quot;$&quot;#,##0"/>
    <numFmt numFmtId="272" formatCode="0.00&quot;x&quot;"/>
    <numFmt numFmtId="273" formatCode="0.00&quot;x&quot;;(0.00&quot;x&quot;)"/>
    <numFmt numFmtId="274" formatCode="0.0&quot;x&quot;"/>
    <numFmt numFmtId="275" formatCode="+0&quot;pp&quot;;(0&quot;pp&quot;);0&quot;pp&quot;"/>
    <numFmt numFmtId="276" formatCode="&quot;Low&quot;;&quot;Low&quot;;&quot;Low&quot;"/>
    <numFmt numFmtId="277" formatCode="&quot;High&quot;;&quot;High&quot;;&quot;High&quot;"/>
    <numFmt numFmtId="278" formatCode="0.0000"/>
    <numFmt numFmtId="279" formatCode="&quot;Outside-in&quot;"/>
    <numFmt numFmtId="280" formatCode="&quot;Management&quot;"/>
    <numFmt numFmtId="281" formatCode="&quot;$&quot;0.00;(&quot;$&quot;0.00);&quot;$&quot;0.00"/>
    <numFmt numFmtId="282" formatCode="#,##0.000_);\(#,##0.000\);&quot;-&quot;_)"/>
    <numFmt numFmtId="283" formatCode="0_)"/>
    <numFmt numFmtId="284" formatCode="&quot;$&quot;#,##0.0"/>
  </numFmts>
  <fonts count="79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00206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002060"/>
      <name val="Arial"/>
      <family val="2"/>
    </font>
    <font>
      <i/>
      <sz val="10"/>
      <color rgb="FFC00000"/>
      <name val="Arial"/>
      <family val="2"/>
    </font>
    <font>
      <b/>
      <u val="singleAccounting"/>
      <sz val="10"/>
      <color rgb="FF000000"/>
      <name val="Arial"/>
      <family val="2"/>
    </font>
    <font>
      <b/>
      <i/>
      <u val="singleAccounting"/>
      <sz val="10"/>
      <color rgb="FF000000"/>
      <name val="Arial"/>
      <family val="2"/>
    </font>
    <font>
      <b/>
      <i/>
      <u val="singleAccounting"/>
      <sz val="10"/>
      <color rgb="FF646464"/>
      <name val="Arial"/>
      <family val="2"/>
    </font>
    <font>
      <b/>
      <i/>
      <u val="singleAccounting"/>
      <sz val="9"/>
      <color rgb="FF646464"/>
      <name val="Arial"/>
      <family val="2"/>
    </font>
    <font>
      <i/>
      <sz val="9"/>
      <color rgb="FF646464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i/>
      <sz val="10"/>
      <color rgb="FF0000FF"/>
      <name val="Arial"/>
      <family val="2"/>
    </font>
    <font>
      <i/>
      <sz val="10"/>
      <color rgb="FF008000"/>
      <name val="Arial"/>
      <family val="2"/>
    </font>
    <font>
      <b/>
      <i/>
      <sz val="9"/>
      <color rgb="FF646464"/>
      <name val="Arial"/>
      <family val="2"/>
    </font>
    <font>
      <b/>
      <u val="singleAccounting"/>
      <sz val="10"/>
      <color rgb="FF008000"/>
      <name val="Arial"/>
      <family val="2"/>
    </font>
    <font>
      <b/>
      <sz val="10"/>
      <color rgb="FF008000"/>
      <name val="Arial"/>
      <family val="2"/>
    </font>
    <font>
      <sz val="10"/>
      <color rgb="FFC00000"/>
      <name val="Arial"/>
      <family val="2"/>
    </font>
    <font>
      <b/>
      <sz val="12"/>
      <color rgb="FF000000"/>
      <name val="Arial"/>
      <family val="2"/>
    </font>
    <font>
      <b/>
      <sz val="12"/>
      <color rgb="FF002060"/>
      <name val="Arial"/>
      <family val="2"/>
    </font>
    <font>
      <b/>
      <u val="singleAccounting"/>
      <sz val="10"/>
      <color rgb="FFFFFFFF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i/>
      <sz val="10"/>
      <color rgb="FF002060"/>
      <name val="Arial"/>
      <family val="2"/>
    </font>
    <font>
      <b/>
      <u val="singleAccounting"/>
      <sz val="10"/>
      <color rgb="FF0000FF"/>
      <name val="Arial"/>
      <family val="2"/>
    </font>
    <font>
      <b/>
      <i/>
      <sz val="10"/>
      <color rgb="FF646464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i/>
      <sz val="9"/>
      <color rgb="FF0000FF"/>
      <name val="Arial"/>
      <family val="2"/>
    </font>
    <font>
      <u/>
      <sz val="9"/>
      <color theme="1"/>
      <name val="Arial"/>
      <family val="2"/>
    </font>
    <font>
      <i/>
      <sz val="9"/>
      <color rgb="FF000000"/>
      <name val="Arial"/>
      <family val="2"/>
    </font>
    <font>
      <b/>
      <u val="singleAccounting"/>
      <sz val="9"/>
      <color theme="1"/>
      <name val="Arial"/>
      <family val="2"/>
    </font>
    <font>
      <sz val="9"/>
      <color rgb="FF008000"/>
      <name val="Arial"/>
      <family val="2"/>
    </font>
    <font>
      <b/>
      <i/>
      <sz val="9"/>
      <color rgb="FF000000"/>
      <name val="Arial"/>
      <family val="2"/>
    </font>
    <font>
      <i/>
      <sz val="9"/>
      <color rgb="FF008000"/>
      <name val="Arial"/>
      <family val="2"/>
    </font>
    <font>
      <b/>
      <i/>
      <u val="singleAccounting"/>
      <sz val="9"/>
      <color theme="1"/>
      <name val="Arial"/>
      <family val="2"/>
    </font>
    <font>
      <b/>
      <u/>
      <sz val="9"/>
      <color theme="1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0000FF"/>
      <name val="Arial"/>
      <family val="2"/>
    </font>
    <font>
      <sz val="9"/>
      <color theme="0"/>
      <name val="Arial"/>
      <family val="2"/>
    </font>
    <font>
      <b/>
      <sz val="9"/>
      <color rgb="FF008000"/>
      <name val="Arial"/>
      <family val="2"/>
    </font>
    <font>
      <sz val="11"/>
      <color rgb="FF00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8"/>
      <color rgb="FFFFFFFF"/>
      <name val="Verdana"/>
      <family val="2"/>
    </font>
    <font>
      <sz val="1"/>
      <color rgb="FFFFFFFF"/>
      <name val="Symbol"/>
      <family val="1"/>
      <charset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b/>
      <u val="double"/>
      <sz val="8"/>
      <color rgb="FF000000"/>
      <name val="Arial"/>
      <family val="2"/>
    </font>
    <font>
      <sz val="8"/>
      <name val="Arial"/>
      <family val="2"/>
    </font>
    <font>
      <b/>
      <u/>
      <sz val="8"/>
      <color rgb="FF000000"/>
      <name val="Arial"/>
      <family val="2"/>
    </font>
    <font>
      <b/>
      <sz val="10"/>
      <color theme="1"/>
      <name val="Arial"/>
      <family val="2"/>
    </font>
    <font>
      <b/>
      <u val="singleAccounting"/>
      <sz val="9"/>
      <color rgb="FF000000"/>
      <name val="Arial"/>
      <family val="2"/>
    </font>
    <font>
      <u val="singleAccounting"/>
      <sz val="9"/>
      <color rgb="FF000000"/>
      <name val="Arial"/>
      <family val="2"/>
    </font>
    <font>
      <u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9"/>
      <color rgb="FF808080"/>
      <name val="Arial"/>
      <family val="2"/>
    </font>
    <font>
      <b/>
      <sz val="9"/>
      <color rgb="FF808080"/>
      <name val="Arial"/>
      <family val="2"/>
    </font>
    <font>
      <i/>
      <sz val="9"/>
      <color rgb="FF808080"/>
      <name val="Arial"/>
      <family val="2"/>
    </font>
    <font>
      <i/>
      <sz val="8"/>
      <color rgb="FF000000"/>
      <name val="Arial"/>
      <family val="2"/>
    </font>
    <font>
      <i/>
      <sz val="9"/>
      <color rgb="FFFFFFFF"/>
      <name val="Arial"/>
      <family val="2"/>
    </font>
    <font>
      <b/>
      <i/>
      <sz val="9"/>
      <color rgb="FFFFFFFF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"/>
        <bgColor rgb="FF000000"/>
      </patternFill>
    </fill>
    <fill>
      <patternFill patternType="solid">
        <fgColor rgb="FF00336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rgb="FF4472C4"/>
        <bgColor indexed="64"/>
      </patternFill>
    </fill>
  </fills>
  <borders count="72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 style="thin"/>
      <top/>
      <bottom/>
      <diagonal/>
    </border>
    <border>
      <left/>
      <right style="thin"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/>
      <top style="thin"/>
      <bottom/>
      <diagonal/>
    </border>
    <border>
      <left/>
      <right/>
      <top/>
      <bottom/>
      <diagonal/>
    </border>
    <border>
      <left/>
      <right/>
      <top style="thin"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</borders>
  <cellStyleXfs count="1">
    <xf borderId="0" fillId="0" fontId="0" numFmtId="0" applyAlignment="1" applyFont="1" applyFill="1"/>
  </cellStyleXfs>
  <cellXfs count="725">
    <xf xfId="0" borderId="0" fillId="0" fontId="0" numFmtId="0"/>
    <xf xfId="0" borderId="0" fillId="0" fontId="0" numFmtId="0" applyAlignment="1">
      <alignment horizontal="right"/>
    </xf>
    <xf xfId="0" borderId="0" fillId="0" fontId="0" numFmtId="164" applyAlignment="1">
      <alignment horizontal="right"/>
    </xf>
    <xf xfId="0" borderId="0" fillId="0" fontId="3" numFmtId="0" applyFont="1"/>
    <xf xfId="0" borderId="0" fillId="0" fontId="4" numFmtId="0" applyFont="1"/>
    <xf xfId="0" borderId="0" fillId="0" fontId="5" numFmtId="0" applyFont="1"/>
    <xf xfId="0" borderId="0" fillId="2" fontId="7" numFmtId="0" applyFont="1" applyFill="1"/>
    <xf xfId="0" borderId="0" fillId="2" fontId="7" numFmtId="164" applyAlignment="1" applyFont="1" applyFill="1">
      <alignment horizontal="right"/>
    </xf>
    <xf xfId="0" borderId="0" fillId="0" fontId="9" numFmtId="0" applyFont="1"/>
    <xf xfId="0" borderId="2" fillId="0" fontId="1" numFmtId="0" applyFont="1"/>
    <xf xfId="0" borderId="2" fillId="0" fontId="1" numFmtId="164" applyAlignment="1" applyFont="1">
      <alignment horizontal="right"/>
    </xf>
    <xf xfId="0" borderId="0" fillId="0" fontId="4" numFmtId="164" applyAlignment="1" applyFont="1">
      <alignment horizontal="right"/>
    </xf>
    <xf xfId="0" borderId="0" fillId="0" fontId="4" numFmtId="165" applyAlignment="1" applyFont="1">
      <alignment horizontal="right"/>
    </xf>
    <xf xfId="0" borderId="0" fillId="0" fontId="10" numFmtId="0" applyFont="1"/>
    <xf xfId="0" borderId="0" fillId="0" fontId="10" numFmtId="166" applyAlignment="1" applyFont="1">
      <alignment horizontal="right"/>
    </xf>
    <xf xfId="0" borderId="0" fillId="0" fontId="0" numFmtId="167" applyAlignment="1">
      <alignment horizontal="right"/>
    </xf>
    <xf xfId="0" borderId="2" fillId="0" fontId="1" numFmtId="165" applyAlignment="1" applyFont="1">
      <alignment horizontal="right"/>
    </xf>
    <xf xfId="0" borderId="0" fillId="0" fontId="0" numFmtId="165" applyAlignment="1">
      <alignment horizontal="right"/>
    </xf>
    <xf xfId="0" borderId="0" fillId="0" fontId="10" numFmtId="165" applyAlignment="1" applyFont="1">
      <alignment horizontal="right"/>
    </xf>
    <xf xfId="0" borderId="0" fillId="0" fontId="4" numFmtId="0" applyAlignment="1" applyFont="1">
      <alignment indent="1"/>
    </xf>
    <xf xfId="0" borderId="0" fillId="0" fontId="0" numFmtId="0" applyAlignment="1">
      <alignment indent="1"/>
    </xf>
    <xf xfId="0" borderId="0" fillId="0" fontId="10" numFmtId="0" applyAlignment="1" applyFont="1">
      <alignment indent="1"/>
    </xf>
    <xf xfId="0" borderId="0" fillId="0" fontId="11" numFmtId="168" applyAlignment="1" applyFont="1">
      <alignment horizontal="center"/>
    </xf>
    <xf xfId="0" borderId="0" fillId="0" fontId="11" numFmtId="169" applyAlignment="1" applyFont="1">
      <alignment horizontal="center"/>
    </xf>
    <xf xfId="0" borderId="0" fillId="0" fontId="11" numFmtId="170" applyAlignment="1" applyFont="1">
      <alignment horizontal="center"/>
    </xf>
    <xf xfId="0" borderId="0" fillId="0" fontId="11" numFmtId="0" quotePrefix="1" applyAlignment="1" applyFont="1">
      <alignment horizontal="center"/>
    </xf>
    <xf xfId="0" borderId="0" fillId="0" fontId="11" numFmtId="0" applyAlignment="1" applyFont="1">
      <alignment horizontal="center"/>
    </xf>
    <xf xfId="0" borderId="0" fillId="0" fontId="11" numFmtId="0" applyAlignment="1" applyFont="1">
      <alignment horizontal="centerContinuous"/>
    </xf>
    <xf xfId="0" borderId="0" fillId="0" fontId="14" numFmtId="0" applyAlignment="1" applyFont="1">
      <alignment horizontal="left"/>
    </xf>
    <xf xfId="0" borderId="0" fillId="0" fontId="15" numFmtId="0" applyAlignment="1" applyFont="1">
      <alignment horizontal="left"/>
    </xf>
    <xf xfId="0" borderId="5" fillId="0" fontId="11" numFmtId="0" applyAlignment="1" applyFont="1">
      <alignment horizontal="centerContinuous"/>
    </xf>
    <xf xfId="0" borderId="5" fillId="0" fontId="11" numFmtId="168" applyAlignment="1" applyFont="1">
      <alignment horizontal="center"/>
    </xf>
    <xf xfId="0" borderId="5" fillId="0" fontId="0" numFmtId="164" applyAlignment="1">
      <alignment horizontal="right"/>
    </xf>
    <xf xfId="0" borderId="5" fillId="2" fontId="7" numFmtId="164" applyAlignment="1" applyFont="1" applyFill="1">
      <alignment horizontal="right"/>
    </xf>
    <xf xfId="0" borderId="6" fillId="0" fontId="1" numFmtId="164" applyAlignment="1" applyFont="1">
      <alignment horizontal="right"/>
    </xf>
    <xf xfId="0" borderId="5" fillId="0" fontId="4" numFmtId="165" applyAlignment="1" applyFont="1">
      <alignment horizontal="right"/>
    </xf>
    <xf xfId="0" borderId="5" fillId="0" fontId="4" numFmtId="164" applyAlignment="1" applyFont="1">
      <alignment horizontal="right"/>
    </xf>
    <xf xfId="0" borderId="5" fillId="0" fontId="10" numFmtId="166" applyAlignment="1" applyFont="1">
      <alignment horizontal="right"/>
    </xf>
    <xf xfId="0" borderId="5" fillId="0" fontId="0" numFmtId="167" applyAlignment="1">
      <alignment horizontal="right"/>
    </xf>
    <xf xfId="0" borderId="2" fillId="0" fontId="16" numFmtId="164" applyAlignment="1" applyFont="1">
      <alignment horizontal="right"/>
    </xf>
    <xf xfId="0" borderId="6" fillId="0" fontId="16" numFmtId="164" applyAlignment="1" applyFont="1">
      <alignment horizontal="right"/>
    </xf>
    <xf xfId="0" borderId="0" fillId="0" fontId="17" numFmtId="164" applyAlignment="1" applyFont="1">
      <alignment horizontal="right"/>
    </xf>
    <xf xfId="0" borderId="5" fillId="0" fontId="17" numFmtId="164" applyAlignment="1" applyFont="1">
      <alignment horizontal="right"/>
    </xf>
    <xf xfId="0" borderId="0" fillId="0" fontId="18" numFmtId="164" applyAlignment="1" applyFont="1">
      <alignment horizontal="right"/>
    </xf>
    <xf xfId="0" borderId="0" fillId="0" fontId="19" numFmtId="164" applyAlignment="1" applyFont="1">
      <alignment horizontal="right"/>
    </xf>
    <xf xfId="0" borderId="5" fillId="0" fontId="19" numFmtId="164" applyAlignment="1" applyFont="1">
      <alignment horizontal="right"/>
    </xf>
    <xf xfId="0" borderId="0" fillId="0" fontId="20" numFmtId="165" applyAlignment="1" applyFont="1">
      <alignment horizontal="right"/>
    </xf>
    <xf xfId="0" borderId="0" fillId="0" fontId="11" numFmtId="164" applyAlignment="1" applyFont="1">
      <alignment horizontal="center"/>
    </xf>
    <xf xfId="0" borderId="0" fillId="0" fontId="21" numFmtId="0" applyAlignment="1" applyFont="1">
      <alignment horizontal="left"/>
    </xf>
    <xf xfId="0" borderId="0" fillId="0" fontId="19" numFmtId="165" applyAlignment="1" applyFont="1">
      <alignment horizontal="right"/>
    </xf>
    <xf xfId="0" borderId="0" fillId="3" fontId="17" numFmtId="164" applyAlignment="1" applyFont="1" applyFill="1">
      <alignment horizontal="right"/>
    </xf>
    <xf xfId="0" borderId="0" fillId="3" fontId="17" numFmtId="1" applyAlignment="1" applyFont="1" applyFill="1">
      <alignment horizontal="right"/>
    </xf>
    <xf xfId="0" borderId="5" fillId="0" fontId="0" numFmtId="0" applyAlignment="1">
      <alignment horizontal="right"/>
    </xf>
    <xf xfId="0" borderId="5" fillId="0" fontId="18" numFmtId="164" applyAlignment="1" applyFont="1">
      <alignment horizontal="right"/>
    </xf>
    <xf xfId="0" borderId="0" fillId="2" fontId="7" numFmtId="0" applyAlignment="1" applyFont="1" applyFill="1">
      <alignment horizontal="right"/>
    </xf>
    <xf xfId="0" borderId="0" fillId="0" fontId="0" numFmtId="171" applyAlignment="1">
      <alignment horizontal="right"/>
    </xf>
    <xf xfId="0" borderId="0" fillId="0" fontId="0" numFmtId="173" applyAlignment="1">
      <alignment horizontal="right"/>
    </xf>
    <xf xfId="0" borderId="0" fillId="0" fontId="0" numFmtId="174" applyAlignment="1">
      <alignment horizontal="right"/>
    </xf>
    <xf xfId="0" borderId="0" fillId="0" fontId="17" numFmtId="171" applyAlignment="1" applyFont="1">
      <alignment horizontal="right"/>
    </xf>
    <xf xfId="0" borderId="0" fillId="0" fontId="17" numFmtId="172" applyAlignment="1" applyFont="1">
      <alignment horizontal="right"/>
    </xf>
    <xf xfId="0" borderId="0" fillId="0" fontId="17" numFmtId="165" applyAlignment="1" applyFont="1">
      <alignment horizontal="right"/>
    </xf>
    <xf xfId="0" borderId="0" fillId="0" fontId="22" numFmtId="168" applyAlignment="1" applyFont="1">
      <alignment horizontal="center"/>
    </xf>
    <xf xfId="0" borderId="0" fillId="0" fontId="22" numFmtId="169" applyAlignment="1" applyFont="1">
      <alignment horizontal="center"/>
    </xf>
    <xf xfId="0" borderId="0" fillId="0" fontId="17" numFmtId="174" applyAlignment="1" applyFont="1">
      <alignment horizontal="right"/>
    </xf>
    <xf xfId="0" borderId="0" fillId="0" fontId="0" numFmtId="166" applyAlignment="1">
      <alignment horizontal="right"/>
    </xf>
    <xf xfId="0" borderId="0" fillId="0" fontId="18" numFmtId="174" applyAlignment="1" applyFont="1">
      <alignment horizontal="right"/>
    </xf>
    <xf xfId="0" borderId="0" fillId="0" fontId="18" numFmtId="172" applyAlignment="1" applyFont="1">
      <alignment horizontal="right"/>
    </xf>
    <xf xfId="0" borderId="2" fillId="0" fontId="23" numFmtId="164" applyAlignment="1" applyFont="1">
      <alignment horizontal="right"/>
    </xf>
    <xf xfId="0" borderId="0" fillId="0" fontId="24" numFmtId="166" applyAlignment="1" applyFont="1">
      <alignment horizontal="right"/>
    </xf>
    <xf xfId="0" borderId="0" fillId="0" fontId="0" numFmtId="0" applyAlignment="1">
      <alignment horizontal="left"/>
    </xf>
    <xf xfId="0" borderId="0" fillId="0" fontId="5" numFmtId="164" applyAlignment="1" applyFont="1">
      <alignment horizontal="left"/>
    </xf>
    <xf xfId="0" borderId="0" fillId="0" fontId="1" numFmtId="0" applyFont="1"/>
    <xf xfId="0" borderId="0" fillId="0" fontId="26" numFmtId="0" applyFont="1"/>
    <xf xfId="0" borderId="0" fillId="0" fontId="0" numFmtId="164"/>
    <xf xfId="0" borderId="0" fillId="0" fontId="17" numFmtId="164" applyFont="1"/>
    <xf xfId="0" borderId="0" fillId="0" fontId="0" numFmtId="171"/>
    <xf xfId="0" borderId="0" fillId="0" fontId="18" numFmtId="171" applyFont="1"/>
    <xf xfId="0" borderId="0" fillId="0" fontId="0" numFmtId="165"/>
    <xf xfId="0" borderId="0" fillId="0" fontId="18" numFmtId="165" applyFont="1"/>
    <xf xfId="0" borderId="0" fillId="0" fontId="18" numFmtId="164" applyFont="1"/>
    <xf xfId="0" borderId="1" fillId="0" fontId="1" numFmtId="0" applyFont="1"/>
    <xf xfId="0" borderId="1" fillId="0" fontId="23" numFmtId="164" applyFont="1"/>
    <xf xfId="0" borderId="0" fillId="0" fontId="0" numFmtId="175"/>
    <xf xfId="0" borderId="0" fillId="0" fontId="18" numFmtId="175" applyFont="1"/>
    <xf xfId="0" borderId="1" fillId="0" fontId="1" numFmtId="164" applyFont="1"/>
    <xf xfId="0" borderId="0" fillId="0" fontId="17" numFmtId="171" applyFont="1"/>
    <xf xfId="0" borderId="0" fillId="3" fontId="17" numFmtId="164" applyFont="1" applyFill="1"/>
    <xf xfId="0" borderId="0" fillId="0" fontId="11" numFmtId="164" applyAlignment="1" applyFont="1">
      <alignment horizontal="center"/>
    </xf>
    <xf xfId="0" borderId="0" fillId="0" fontId="11" numFmtId="176" applyAlignment="1" applyFont="1">
      <alignment horizontal="center"/>
    </xf>
    <xf xfId="0" borderId="0" fillId="0" fontId="11" numFmtId="177" applyAlignment="1" applyFont="1">
      <alignment horizontal="center"/>
    </xf>
    <xf xfId="0" borderId="0" fillId="2" fontId="27" numFmtId="0" applyAlignment="1" applyFont="1" applyFill="1">
      <alignment horizontal="centerContinuous"/>
    </xf>
    <xf xfId="0" borderId="0" fillId="2" fontId="27" numFmtId="0" applyFont="1" applyFill="1"/>
    <xf xfId="0" borderId="3" fillId="0" fontId="11" numFmtId="176" applyAlignment="1" applyFont="1">
      <alignment horizontal="center"/>
    </xf>
    <xf xfId="0" borderId="7" fillId="0" fontId="23" numFmtId="164" applyFont="1"/>
    <xf xfId="0" borderId="3" fillId="0" fontId="18" numFmtId="165" applyFont="1"/>
    <xf xfId="0" borderId="3" fillId="0" fontId="0" numFmtId="165"/>
    <xf xfId="0" borderId="7" fillId="0" fontId="1" numFmtId="0" applyFont="1"/>
    <xf xfId="0" borderId="3" fillId="0" fontId="0" numFmtId="0"/>
    <xf xfId="0" borderId="3" fillId="0" fontId="18" numFmtId="175" applyFont="1"/>
    <xf xfId="0" borderId="3" fillId="2" fontId="7" numFmtId="0" applyFont="1" applyFill="1"/>
    <xf xfId="0" borderId="3" fillId="3" fontId="17" numFmtId="164" applyFont="1" applyFill="1"/>
    <xf xfId="0" borderId="1" fillId="0" fontId="16" numFmtId="164" applyFont="1"/>
    <xf xfId="0" borderId="0" fillId="0" fontId="4" numFmtId="164" applyFont="1"/>
    <xf xfId="0" borderId="0" fillId="0" fontId="17" numFmtId="175" applyFont="1"/>
    <xf xfId="0" borderId="0" fillId="0" fontId="4" numFmtId="165" applyFont="1"/>
    <xf xfId="0" borderId="0" fillId="0" fontId="11" numFmtId="170" applyAlignment="1" applyFont="1">
      <alignment horizontal="center"/>
    </xf>
    <xf xfId="0" borderId="0" fillId="0" fontId="11" numFmtId="178" applyAlignment="1" applyFont="1">
      <alignment horizontal="center"/>
    </xf>
    <xf xfId="0" borderId="0" fillId="0" fontId="11" numFmtId="0" applyFont="1"/>
    <xf xfId="0" borderId="7" fillId="0" fontId="16" numFmtId="164" applyFont="1"/>
    <xf xfId="0" borderId="3" fillId="0" fontId="4" numFmtId="165" applyFont="1"/>
    <xf xfId="0" borderId="3" fillId="0" fontId="17" numFmtId="164" applyFont="1"/>
    <xf xfId="0" borderId="7" fillId="0" fontId="1" numFmtId="164" applyFont="1"/>
    <xf xfId="0" borderId="3" fillId="0" fontId="4" numFmtId="164" applyFont="1"/>
    <xf xfId="0" borderId="3" fillId="0" fontId="0" numFmtId="164"/>
    <xf xfId="0" borderId="3" fillId="0" fontId="0" numFmtId="175"/>
    <xf xfId="0" borderId="3" fillId="0" fontId="4" numFmtId="0" applyFont="1"/>
    <xf xfId="0" borderId="3" fillId="0" fontId="18" numFmtId="164" applyFont="1"/>
    <xf xfId="0" borderId="0" fillId="0" fontId="20" numFmtId="165" applyFont="1"/>
    <xf xfId="0" borderId="3" fillId="0" fontId="20" numFmtId="165" applyFont="1"/>
    <xf xfId="0" borderId="0" fillId="0" fontId="17" numFmtId="165" applyFont="1"/>
    <xf xfId="0" borderId="3" fillId="0" fontId="17" numFmtId="165" applyFont="1"/>
    <xf xfId="0" borderId="0" fillId="4" fontId="29" numFmtId="0" applyFont="1" applyFill="1"/>
    <xf xfId="0" borderId="3" fillId="4" fontId="29" numFmtId="0" applyFont="1" applyFill="1"/>
    <xf xfId="0" borderId="1" fillId="4" fontId="29" numFmtId="0" applyFont="1" applyFill="1"/>
    <xf xfId="0" borderId="7" fillId="4" fontId="29" numFmtId="0" applyFont="1" applyFill="1"/>
    <xf xfId="0" borderId="0" fillId="0" fontId="17" numFmtId="15" applyFont="1"/>
    <xf xfId="0" borderId="0" fillId="0" fontId="11" numFmtId="0" applyAlignment="1" applyFont="1">
      <alignment wrapText="1" horizontal="center"/>
    </xf>
    <xf xfId="0" borderId="0" fillId="0" fontId="0" numFmtId="167"/>
    <xf xfId="0" borderId="0" fillId="3" fontId="16" numFmtId="1" applyFont="1" applyFill="1"/>
    <xf xfId="0" borderId="0" fillId="0" fontId="0" numFmtId="1" applyAlignment="1">
      <alignment horizontal="center"/>
    </xf>
    <xf xfId="0" borderId="0" fillId="3" fontId="17" numFmtId="1" applyAlignment="1" applyFont="1" applyFill="1">
      <alignment horizontal="center"/>
    </xf>
    <xf xfId="0" borderId="1" fillId="0" fontId="23" numFmtId="0" applyFont="1"/>
    <xf xfId="0" borderId="1" fillId="0" fontId="23" numFmtId="165" applyFont="1"/>
    <xf xfId="0" borderId="1" fillId="0" fontId="1" numFmtId="165" applyFont="1"/>
    <xf xfId="0" borderId="8" fillId="0" fontId="0" numFmtId="0"/>
    <xf xfId="0" borderId="8" fillId="2" fontId="7" numFmtId="0" applyFont="1" applyFill="1"/>
    <xf xfId="0" borderId="8" fillId="0" fontId="11" numFmtId="0" applyAlignment="1" applyFont="1">
      <alignment horizontal="center"/>
    </xf>
    <xf xfId="0" borderId="8" fillId="3" fontId="17" numFmtId="1" applyAlignment="1" applyFont="1" applyFill="1">
      <alignment horizontal="center"/>
    </xf>
    <xf xfId="0" borderId="9" fillId="0" fontId="1" numFmtId="164" applyFont="1"/>
    <xf xfId="0" borderId="8" fillId="0" fontId="0" numFmtId="165"/>
    <xf xfId="0" borderId="8" fillId="0" fontId="0" numFmtId="171"/>
    <xf xfId="0" borderId="8" fillId="0" fontId="17" numFmtId="171" applyFont="1"/>
    <xf xfId="0" borderId="8" fillId="2" fontId="27" numFmtId="0" applyAlignment="1" applyFont="1" applyFill="1">
      <alignment horizontal="centerContinuous"/>
    </xf>
    <xf xfId="0" borderId="0" fillId="4" fontId="29" numFmtId="165" applyFont="1" applyFill="1"/>
    <xf xfId="0" borderId="0" fillId="2" fontId="7" numFmtId="165" applyFont="1" applyFill="1"/>
    <xf xfId="0" borderId="0" fillId="4" fontId="29" numFmtId="0" applyAlignment="1" applyFont="1" applyFill="1"/>
    <xf xfId="0" borderId="0" fillId="3" fontId="17" numFmtId="165" applyFont="1" applyFill="1"/>
    <xf xfId="0" borderId="7" fillId="0" fontId="23" numFmtId="165" applyFont="1"/>
    <xf xfId="0" borderId="1" fillId="4" fontId="29" numFmtId="0" applyAlignment="1" applyFont="1" applyFill="1"/>
    <xf xfId="0" borderId="7" fillId="0" fontId="1" numFmtId="165" applyFont="1"/>
    <xf xfId="0" borderId="0" fillId="0" fontId="0" numFmtId="179"/>
    <xf xfId="0" borderId="0" fillId="0" fontId="0" numFmtId="180"/>
    <xf xfId="0" borderId="0" fillId="0" fontId="0" numFmtId="181"/>
    <xf xfId="0" borderId="0" fillId="0" fontId="0" numFmtId="182"/>
    <xf xfId="0" borderId="0" fillId="0" fontId="0" numFmtId="183"/>
    <xf xfId="0" borderId="0" fillId="0" fontId="0" numFmtId="184"/>
    <xf xfId="0" borderId="0" fillId="0" fontId="0" numFmtId="185"/>
    <xf xfId="0" borderId="0" fillId="0" fontId="0" numFmtId="186"/>
    <xf xfId="0" borderId="0" fillId="0" fontId="0" numFmtId="187"/>
    <xf xfId="0" borderId="0" fillId="0" fontId="17" numFmtId="181" applyFont="1"/>
    <xf xfId="0" borderId="0" fillId="0" fontId="18" numFmtId="181" applyFont="1"/>
    <xf xfId="0" borderId="0" fillId="2" fontId="7" numFmtId="164" applyFont="1" applyFill="1"/>
    <xf xfId="0" borderId="0" fillId="4" fontId="29" numFmtId="164" applyFont="1" applyFill="1"/>
    <xf xfId="0" borderId="2" fillId="0" fontId="1" numFmtId="0" applyFont="1"/>
    <xf xfId="0" borderId="2" fillId="0" fontId="1" numFmtId="180" applyFont="1"/>
    <xf xfId="0" borderId="2" fillId="0" fontId="1" numFmtId="165" applyFont="1"/>
    <xf xfId="0" borderId="2" fillId="0" fontId="1" numFmtId="181" applyFont="1"/>
    <xf xfId="0" borderId="2" fillId="0" fontId="1" numFmtId="185" applyFont="1"/>
    <xf xfId="0" borderId="2" fillId="0" fontId="1" numFmtId="164" applyFont="1"/>
    <xf xfId="0" borderId="2" fillId="0" fontId="23" numFmtId="164" applyFont="1"/>
    <xf xfId="0" borderId="0" fillId="3" fontId="31" numFmtId="175" applyAlignment="1" applyFont="1" applyFill="1">
      <alignment horizontal="center"/>
    </xf>
    <xf xfId="0" borderId="5" fillId="0" fontId="11" numFmtId="0" applyAlignment="1" applyFont="1">
      <alignment horizontal="center"/>
    </xf>
    <xf xfId="0" borderId="5" fillId="0" fontId="11" numFmtId="179" applyAlignment="1" applyFont="1">
      <alignment horizontal="center"/>
    </xf>
    <xf xfId="0" borderId="5" fillId="0" fontId="0" numFmtId="0"/>
    <xf xfId="0" borderId="5" fillId="2" fontId="7" numFmtId="164" applyFont="1" applyFill="1"/>
    <xf xfId="0" borderId="5" fillId="0" fontId="0" numFmtId="179"/>
    <xf xfId="0" borderId="5" fillId="0" fontId="0" numFmtId="175"/>
    <xf xfId="0" borderId="5" fillId="0" fontId="0" numFmtId="164"/>
    <xf xfId="0" borderId="6" fillId="0" fontId="1" numFmtId="180" applyFont="1"/>
    <xf xfId="0" borderId="6" fillId="0" fontId="1" numFmtId="165" applyFont="1"/>
    <xf xfId="0" borderId="5" fillId="0" fontId="0" numFmtId="165"/>
    <xf xfId="0" borderId="6" fillId="0" fontId="1" numFmtId="181" applyFont="1"/>
    <xf xfId="0" borderId="5" fillId="4" fontId="29" numFmtId="164" applyFont="1" applyFill="1"/>
    <xf xfId="0" borderId="5" fillId="0" fontId="17" numFmtId="179" applyFont="1"/>
    <xf xfId="0" borderId="5" fillId="0" fontId="17" numFmtId="181" applyFont="1"/>
    <xf xfId="0" borderId="5" fillId="0" fontId="18" numFmtId="181" applyFont="1"/>
    <xf xfId="0" borderId="5" fillId="0" fontId="18" numFmtId="164" applyFont="1"/>
    <xf xfId="0" borderId="5" fillId="0" fontId="18" numFmtId="182" applyFont="1"/>
    <xf xfId="0" borderId="5" fillId="0" fontId="17" numFmtId="164" applyFont="1"/>
    <xf xfId="0" borderId="5" fillId="0" fontId="18" numFmtId="165" applyFont="1"/>
    <xf xfId="0" borderId="5" fillId="3" fontId="17" numFmtId="165" applyFont="1" applyFill="1"/>
    <xf xfId="0" borderId="5" fillId="0" fontId="18" numFmtId="183" applyFont="1"/>
    <xf xfId="0" borderId="5" fillId="3" fontId="17" numFmtId="179" applyFont="1" applyFill="1"/>
    <xf xfId="0" borderId="5" fillId="3" fontId="17" numFmtId="175" applyFont="1" applyFill="1"/>
    <xf xfId="0" borderId="5" fillId="0" fontId="17" numFmtId="184" applyFont="1"/>
    <xf xfId="0" borderId="5" fillId="0" fontId="0" numFmtId="184"/>
    <xf xfId="0" borderId="6" fillId="0" fontId="1" numFmtId="185" applyFont="1"/>
    <xf xfId="0" borderId="5" fillId="0" fontId="18" numFmtId="185" applyFont="1"/>
    <xf xfId="0" borderId="5" fillId="0" fontId="0" numFmtId="185"/>
    <xf xfId="0" borderId="6" fillId="0" fontId="1" numFmtId="164" applyFont="1"/>
    <xf xfId="0" borderId="5" fillId="0" fontId="17" numFmtId="165" applyFont="1"/>
    <xf xfId="0" borderId="5" fillId="3" fontId="17" numFmtId="183" applyFont="1" applyFill="1"/>
    <xf xfId="0" borderId="5" fillId="0" fontId="17" numFmtId="186" applyFont="1"/>
    <xf xfId="0" borderId="5" fillId="0" fontId="17" numFmtId="183" applyFont="1"/>
    <xf xfId="0" borderId="5" fillId="0" fontId="17" numFmtId="182" applyFont="1"/>
    <xf xfId="0" borderId="5" fillId="0" fontId="0" numFmtId="182"/>
    <xf xfId="0" borderId="5" fillId="0" fontId="17" numFmtId="175" applyFont="1"/>
    <xf xfId="0" borderId="5" fillId="0" fontId="17" numFmtId="187" applyFont="1"/>
    <xf xfId="0" borderId="5" fillId="0" fontId="17" numFmtId="180" applyFont="1"/>
    <xf xfId="0" borderId="5" fillId="3" fontId="17" numFmtId="164" applyFont="1" applyFill="1"/>
    <xf xfId="0" borderId="5" fillId="0" fontId="0" numFmtId="186"/>
    <xf xfId="0" borderId="5" fillId="0" fontId="4" numFmtId="165" applyFont="1"/>
    <xf xfId="0" borderId="5" fillId="0" fontId="0" numFmtId="187"/>
    <xf xfId="0" borderId="5" fillId="0" fontId="0" numFmtId="183"/>
    <xf xfId="0" borderId="5" fillId="0" fontId="0" numFmtId="180"/>
    <xf xfId="0" borderId="5" fillId="0" fontId="11" numFmtId="175" applyAlignment="1" applyFont="1">
      <alignment horizontal="center"/>
    </xf>
    <xf xfId="0" borderId="5" fillId="0" fontId="11" numFmtId="164" applyAlignment="1" applyFont="1">
      <alignment horizontal="center"/>
    </xf>
    <xf xfId="0" borderId="0" fillId="0" fontId="4" numFmtId="175" applyFont="1"/>
    <xf xfId="0" borderId="0" fillId="0" fontId="31" numFmtId="175" applyAlignment="1" applyFont="1">
      <alignment horizontal="center"/>
    </xf>
    <xf xfId="0" borderId="5" fillId="0" fontId="4" numFmtId="175" applyFont="1"/>
    <xf xfId="0" borderId="5" fillId="0" fontId="0" numFmtId="181"/>
    <xf xfId="0" borderId="5" fillId="0" fontId="11" numFmtId="165" applyAlignment="1" applyFont="1">
      <alignment horizontal="center"/>
    </xf>
    <xf xfId="0" borderId="0" fillId="3" fontId="31" numFmtId="188" applyAlignment="1" applyFont="1" applyFill="1">
      <alignment horizontal="center"/>
    </xf>
    <xf xfId="0" borderId="2" fillId="0" fontId="23" numFmtId="181" applyFont="1"/>
    <xf xfId="0" borderId="8" fillId="3" fontId="31" numFmtId="189" applyAlignment="1" applyFont="1" applyFill="1">
      <alignment horizontal="center"/>
    </xf>
    <xf xfId="0" borderId="0" fillId="3" fontId="31" numFmtId="189" applyAlignment="1" applyFont="1" applyFill="1">
      <alignment horizontal="center"/>
    </xf>
    <xf xfId="0" borderId="0" fillId="0" fontId="18" numFmtId="180" applyFont="1"/>
    <xf xfId="0" borderId="0" fillId="3" fontId="17" numFmtId="189" applyAlignment="1" applyFont="1" applyFill="1">
      <alignment horizontal="center"/>
    </xf>
    <xf xfId="0" borderId="5" fillId="0" fontId="18" numFmtId="0" applyAlignment="1" applyFont="1">
      <alignment horizontal="right"/>
    </xf>
    <xf xfId="0" borderId="5" fillId="0" fontId="0" numFmtId="0" applyAlignment="1">
      <alignment horizontal="right"/>
    </xf>
    <xf xfId="0" borderId="5" fillId="0" fontId="0" numFmtId="179" applyAlignment="1">
      <alignment horizontal="right"/>
    </xf>
    <xf xfId="0" borderId="5" fillId="0" fontId="0" numFmtId="175" applyAlignment="1">
      <alignment horizontal="right"/>
    </xf>
    <xf xfId="0" borderId="5" fillId="0" fontId="0" numFmtId="164" applyAlignment="1">
      <alignment horizontal="right"/>
    </xf>
    <xf xfId="0" borderId="6" fillId="0" fontId="1" numFmtId="180" applyAlignment="1" applyFont="1">
      <alignment horizontal="right"/>
    </xf>
    <xf xfId="0" borderId="6" fillId="0" fontId="1" numFmtId="165" applyAlignment="1" applyFont="1">
      <alignment horizontal="right"/>
    </xf>
    <xf xfId="0" borderId="5" fillId="0" fontId="0" numFmtId="165" applyAlignment="1">
      <alignment horizontal="right"/>
    </xf>
    <xf xfId="0" borderId="6" fillId="0" fontId="1" numFmtId="181" applyAlignment="1" applyFont="1">
      <alignment horizontal="right"/>
    </xf>
    <xf xfId="0" borderId="0" fillId="0" fontId="22" numFmtId="165" applyAlignment="1" applyFont="1">
      <alignment horizontal="center"/>
    </xf>
    <xf xfId="0" borderId="8" fillId="3" fontId="31" numFmtId="190" applyAlignment="1" applyFont="1" applyFill="1">
      <alignment horizontal="center"/>
    </xf>
    <xf xfId="0" borderId="0" fillId="3" fontId="31" numFmtId="190" applyAlignment="1" applyFont="1" applyFill="1">
      <alignment horizontal="center"/>
    </xf>
    <xf xfId="0" borderId="0" fillId="0" fontId="22" numFmtId="180" applyAlignment="1" applyFont="1">
      <alignment horizontal="center"/>
    </xf>
    <xf xfId="0" borderId="0" fillId="0" fontId="22" numFmtId="181" applyAlignment="1" applyFont="1">
      <alignment horizontal="center"/>
    </xf>
    <xf xfId="0" borderId="0" fillId="0" fontId="0" numFmtId="0" applyAlignment="1"/>
    <xf xfId="0" borderId="0" fillId="0" fontId="0" numFmtId="192"/>
    <xf xfId="0" borderId="0" fillId="0" fontId="33" numFmtId="0" applyAlignment="1" applyFont="1">
      <alignment vertical="center"/>
    </xf>
    <xf xfId="0" borderId="10" fillId="5" fontId="34" numFmtId="0" applyAlignment="1" applyFont="1" applyFill="1">
      <alignment horizontal="center"/>
    </xf>
    <xf xfId="0" borderId="0" fillId="0" fontId="35" numFmtId="0" applyAlignment="1" applyFont="1">
      <alignment horizontal="center"/>
    </xf>
    <xf xfId="0" borderId="0" fillId="0" fontId="35" numFmtId="0" applyFont="1"/>
    <xf xfId="0" borderId="11" fillId="6" fontId="36" numFmtId="0" applyAlignment="1" applyFont="1" applyFill="1">
      <alignment horizontal="left"/>
    </xf>
    <xf xfId="0" borderId="11" fillId="6" fontId="36" numFmtId="0" applyAlignment="1" applyFont="1" applyFill="1">
      <alignment horizontal="centerContinuous"/>
    </xf>
    <xf xfId="0" borderId="11" fillId="7" fontId="36" numFmtId="193" applyFont="1" applyFill="1"/>
    <xf xfId="0" borderId="12" fillId="0" fontId="33" numFmtId="0" applyFont="1"/>
    <xf xfId="0" borderId="13" fillId="0" fontId="33" numFmtId="194" applyFont="1"/>
    <xf xfId="0" borderId="0" fillId="0" fontId="39" numFmtId="0" applyAlignment="1" applyFont="1">
      <alignment horizontal="left" indent="1"/>
    </xf>
    <xf xfId="0" borderId="0" fillId="0" fontId="35" numFmtId="0" applyAlignment="1" applyFont="1">
      <alignment horizontal="left" indent="1"/>
    </xf>
    <xf xfId="0" borderId="0" fillId="0" fontId="39" numFmtId="0" applyFont="1"/>
    <xf xfId="0" borderId="0" fillId="0" fontId="40" numFmtId="0" applyAlignment="1" applyFont="1">
      <alignment vertical="center"/>
    </xf>
    <xf xfId="0" borderId="0" fillId="0" fontId="35" numFmtId="0" applyAlignment="1" applyFont="1">
      <alignment vertical="center"/>
    </xf>
    <xf xfId="0" borderId="0" fillId="6" fontId="36" numFmtId="0" applyAlignment="1" applyFont="1" applyFill="1">
      <alignment horizontal="left"/>
    </xf>
    <xf xfId="0" borderId="0" fillId="6" fontId="36" numFmtId="0" applyAlignment="1" applyFont="1" applyFill="1">
      <alignment horizontal="centerContinuous"/>
    </xf>
    <xf xfId="0" borderId="2" fillId="8" fontId="33" numFmtId="0" applyFont="1" applyFill="1"/>
    <xf xfId="0" borderId="2" fillId="8" fontId="38" numFmtId="198" applyAlignment="1" applyFont="1" applyFill="1">
      <alignment horizontal="right" vertical="center"/>
    </xf>
    <xf xfId="0" borderId="2" fillId="0" fontId="35" numFmtId="0" applyAlignment="1" applyFont="1">
      <alignment vertical="center"/>
    </xf>
    <xf xfId="0" borderId="13" fillId="8" fontId="38" numFmtId="0" applyAlignment="1" applyFont="1" applyFill="1">
      <alignment horizontal="left" vertical="center"/>
    </xf>
    <xf xfId="0" borderId="2" fillId="8" fontId="38" numFmtId="0" applyAlignment="1" applyFont="1" applyFill="1">
      <alignment horizontal="left" vertical="center"/>
    </xf>
    <xf xfId="0" borderId="0" fillId="0" fontId="40" numFmtId="0" applyFont="1"/>
    <xf xfId="0" borderId="0" fillId="0" fontId="44" numFmtId="0" applyAlignment="1" applyFont="1">
      <alignment horizontal="centerContinuous" vertical="center"/>
    </xf>
    <xf xfId="0" borderId="0" fillId="0" fontId="44" numFmtId="0" quotePrefix="1" applyAlignment="1" applyFont="1">
      <alignment horizontal="center" vertical="center"/>
    </xf>
    <xf xfId="0" borderId="0" fillId="0" fontId="46" numFmtId="200" applyAlignment="1" applyFont="1">
      <alignment horizontal="right"/>
    </xf>
    <xf xfId="0" borderId="0" fillId="0" fontId="40" numFmtId="0" applyAlignment="1" applyFont="1">
      <alignment horizontal="left" indent="1"/>
    </xf>
    <xf xfId="0" borderId="11" fillId="6" fontId="36" numFmtId="193" applyAlignment="1" applyFont="1" applyFill="1">
      <alignment horizontal="right"/>
    </xf>
    <xf xfId="0" borderId="0" fillId="0" fontId="33" numFmtId="0" applyFont="1"/>
    <xf xfId="0" borderId="0" fillId="0" fontId="49" numFmtId="0" applyFont="1"/>
    <xf xfId="0" borderId="2" fillId="10" fontId="38" numFmtId="0" applyAlignment="1" applyFont="1" applyFill="1">
      <alignment horizontal="left" vertical="center"/>
    </xf>
    <xf xfId="0" borderId="2" fillId="10" fontId="46" numFmtId="195" applyAlignment="1" applyFont="1" applyFill="1">
      <alignment vertical="center"/>
    </xf>
    <xf xfId="0" borderId="11" fillId="10" fontId="38" numFmtId="0" applyAlignment="1" applyFont="1" applyFill="1">
      <alignment horizontal="left" vertical="center"/>
    </xf>
    <xf xfId="0" borderId="11" fillId="10" fontId="38" numFmtId="199" applyAlignment="1" applyFont="1" applyFill="1">
      <alignment horizontal="right" vertical="center"/>
    </xf>
    <xf xfId="0" borderId="15" fillId="8" fontId="51" numFmtId="0" applyAlignment="1" applyFont="1" applyFill="1">
      <alignment horizontal="center" vertical="center"/>
    </xf>
    <xf xfId="0" borderId="18" fillId="11" fontId="36" numFmtId="0" applyAlignment="1" applyFont="1" applyFill="1">
      <alignment horizontal="centerContinuous" vertical="center"/>
    </xf>
    <xf xfId="0" borderId="0" fillId="0" fontId="43" numFmtId="0" applyFont="1"/>
    <xf xfId="0" borderId="23" fillId="2" fontId="36" numFmtId="0" applyAlignment="1" applyFont="1" applyFill="1">
      <alignment vertical="center"/>
    </xf>
    <xf xfId="0" borderId="2" fillId="0" fontId="39" numFmtId="0" applyFont="1"/>
    <xf xfId="0" borderId="2" fillId="0" fontId="45" numFmtId="37" applyAlignment="1" applyFont="1">
      <alignment vertical="center"/>
    </xf>
    <xf xfId="0" borderId="13" fillId="8" fontId="38" numFmtId="0" applyFont="1" applyFill="1"/>
    <xf xfId="0" borderId="13" fillId="8" fontId="38" numFmtId="0" applyAlignment="1" applyFont="1" applyFill="1">
      <alignment vertical="center"/>
    </xf>
    <xf xfId="0" borderId="0" fillId="2" fontId="36" numFmtId="0" applyAlignment="1" applyFont="1" applyFill="1">
      <alignment vertical="center"/>
    </xf>
    <xf xfId="0" borderId="0" fillId="14" fontId="44" numFmtId="44" applyAlignment="1" applyFont="1" applyFill="1">
      <alignment horizontal="centerContinuous" vertical="center"/>
    </xf>
    <xf xfId="0" borderId="0" fillId="8" fontId="43" numFmtId="193" applyAlignment="1" applyFont="1" applyFill="1">
      <alignment horizontal="left" vertical="center"/>
    </xf>
    <xf xfId="0" borderId="0" fillId="0" fontId="43" numFmtId="0" applyAlignment="1" applyFont="1">
      <alignment horizontal="left" indent="1"/>
    </xf>
    <xf xfId="0" borderId="0" fillId="0" fontId="45" numFmtId="222" applyFont="1"/>
    <xf xfId="0" borderId="2" fillId="8" fontId="38" numFmtId="0" applyFont="1" applyFill="1"/>
    <xf xfId="0" borderId="2" fillId="8" fontId="57" numFmtId="211" applyFont="1" applyFill="1"/>
    <xf xfId="0" borderId="0" fillId="0" fontId="38" numFmtId="0" applyFont="1"/>
    <xf xfId="0" borderId="0" fillId="0" fontId="45" numFmtId="224" applyFont="1"/>
    <xf xfId="0" borderId="15" fillId="8" fontId="51" numFmtId="0" applyAlignment="1" applyFont="1" applyFill="1">
      <alignment vertical="center"/>
    </xf>
    <xf xfId="0" borderId="0" fillId="0" fontId="0" numFmtId="215"/>
    <xf xfId="0" borderId="0" fillId="16" fontId="60" numFmtId="0" applyFont="1" applyFill="1"/>
    <xf xfId="0" borderId="0" fillId="17" fontId="62" numFmtId="0" applyAlignment="1" applyFont="1" applyFill="1">
      <alignment wrapText="1"/>
    </xf>
    <xf xfId="0" borderId="0" fillId="17" fontId="62" numFmtId="0" applyAlignment="1" applyFont="1" applyFill="1">
      <alignment wrapText="1" horizontal="right"/>
    </xf>
    <xf xfId="0" borderId="0" fillId="17" fontId="63" numFmtId="0" applyAlignment="1" applyFont="1" applyFill="1">
      <alignment wrapText="1"/>
    </xf>
    <xf xfId="0" borderId="0" fillId="17" fontId="63" numFmtId="0" applyAlignment="1" applyFont="1" applyFill="1">
      <alignment wrapText="1" horizontal="right"/>
    </xf>
    <xf xfId="0" borderId="0" fillId="0" fontId="62" numFmtId="0" applyAlignment="1" applyFont="1">
      <alignment horizontal="left" vertical="top"/>
    </xf>
    <xf xfId="0" borderId="0" fillId="0" fontId="64" numFmtId="0" applyAlignment="1" applyFont="1">
      <alignment horizontal="left" vertical="top"/>
    </xf>
    <xf xfId="0" borderId="0" fillId="0" fontId="64" numFmtId="225" applyAlignment="1" applyFont="1">
      <alignment wrapText="1" horizontal="right" vertical="top"/>
    </xf>
    <xf xfId="0" borderId="2" fillId="0" fontId="62" numFmtId="225" applyAlignment="1" applyFont="1">
      <alignment wrapText="1" horizontal="right" vertical="top"/>
    </xf>
    <xf xfId="0" borderId="0" fillId="0" fontId="66" numFmtId="0" applyFont="1"/>
    <xf xfId="0" borderId="0" fillId="17" fontId="62" numFmtId="231" applyAlignment="1" applyFont="1" applyFill="1">
      <alignment wrapText="1" horizontal="right"/>
    </xf>
    <xf xfId="0" borderId="0" fillId="5" fontId="39" numFmtId="232" applyFont="1" applyFill="1"/>
    <xf xfId="0" borderId="0" fillId="0" fontId="39" numFmtId="233" applyAlignment="1" applyFont="1">
      <alignment horizontal="right" vertical="center"/>
    </xf>
    <xf xfId="0" borderId="2" fillId="8" fontId="38" numFmtId="234" applyAlignment="1" applyFont="1" applyFill="1">
      <alignment horizontal="right" vertical="center"/>
    </xf>
    <xf xfId="0" borderId="0" fillId="0" fontId="39" numFmtId="235" applyAlignment="1" applyFont="1">
      <alignment horizontal="right" vertical="center"/>
    </xf>
    <xf xfId="0" borderId="0" fillId="0" fontId="45" numFmtId="235" applyAlignment="1" applyFont="1">
      <alignment horizontal="right" vertical="center"/>
    </xf>
    <xf xfId="0" borderId="0" fillId="0" fontId="39" numFmtId="236" applyFont="1"/>
    <xf xfId="0" borderId="0" fillId="0" fontId="38" numFmtId="0" applyAlignment="1" applyFont="1">
      <alignment wrapText="1" horizontal="center" vertical="center"/>
    </xf>
    <xf xfId="0" borderId="0" fillId="0" fontId="39" numFmtId="236" applyAlignment="1" applyFont="1">
      <alignment horizontal="center" vertical="center"/>
    </xf>
    <xf xfId="0" borderId="0" fillId="0" fontId="39" numFmtId="237" applyAlignment="1" applyFont="1">
      <alignment horizontal="center" vertical="center"/>
    </xf>
    <xf xfId="0" borderId="0" fillId="0" fontId="39" numFmtId="232" applyAlignment="1" applyFont="1">
      <alignment horizontal="center" vertical="center"/>
    </xf>
    <xf xfId="0" borderId="0" fillId="0" fontId="34" numFmtId="235" applyAlignment="1" applyFont="1">
      <alignment horizontal="center" vertical="center"/>
    </xf>
    <xf xfId="0" borderId="0" fillId="0" fontId="39" numFmtId="235" applyAlignment="1" applyFont="1">
      <alignment horizontal="center" vertical="center"/>
    </xf>
    <xf xfId="0" borderId="13" fillId="18" fontId="38" numFmtId="0" applyAlignment="1" applyFont="1" applyFill="1">
      <alignment horizontal="right" vertical="center"/>
    </xf>
    <xf xfId="0" borderId="13" fillId="18" fontId="38" numFmtId="199" applyAlignment="1" applyFont="1" applyFill="1">
      <alignment horizontal="center" vertical="center"/>
    </xf>
    <xf xfId="0" borderId="13" fillId="8" fontId="38" numFmtId="234" applyAlignment="1" applyFont="1" applyFill="1">
      <alignment horizontal="center" vertical="center"/>
    </xf>
    <xf xfId="0" borderId="13" fillId="8" fontId="38" numFmtId="236" applyAlignment="1" applyFont="1" applyFill="1">
      <alignment horizontal="center" vertical="center"/>
    </xf>
    <xf xfId="0" borderId="0" fillId="5" fontId="39" numFmtId="238" applyFont="1" applyFill="1"/>
    <xf xfId="0" borderId="0" fillId="5" fontId="39" numFmtId="15" applyFont="1" applyFill="1"/>
    <xf xfId="0" borderId="0" fillId="0" fontId="39" numFmtId="237" applyAlignment="1" applyFont="1">
      <alignment horizontal="right" vertical="center"/>
    </xf>
    <xf xfId="0" borderId="0" fillId="0" fontId="38" numFmtId="0" applyAlignment="1" applyFont="1">
      <alignment wrapText="1" horizontal="right" vertical="center"/>
    </xf>
    <xf xfId="0" borderId="0" fillId="0" fontId="39" numFmtId="232" applyAlignment="1" applyFont="1">
      <alignment horizontal="right" vertical="center"/>
    </xf>
    <xf xfId="0" borderId="2" fillId="8" fontId="38" numFmtId="232" applyAlignment="1" applyFont="1" applyFill="1">
      <alignment horizontal="right" vertical="center"/>
    </xf>
    <xf xfId="0" borderId="13" fillId="0" fontId="38" numFmtId="232" applyAlignment="1" applyFont="1">
      <alignment horizontal="right"/>
    </xf>
    <xf xfId="0" borderId="0" fillId="5" fontId="34" numFmtId="232" applyAlignment="1" applyFont="1" applyFill="1">
      <alignment horizontal="right"/>
    </xf>
    <xf xfId="0" borderId="13" fillId="0" fontId="38" numFmtId="237" applyAlignment="1" applyFont="1">
      <alignment horizontal="right"/>
    </xf>
    <xf xfId="0" borderId="0" fillId="5" fontId="34" numFmtId="237" applyAlignment="1" applyFont="1" applyFill="1">
      <alignment horizontal="right"/>
    </xf>
    <xf xfId="0" borderId="0" fillId="0" fontId="39" numFmtId="232" applyAlignment="1" applyFont="1">
      <alignment horizontal="right"/>
    </xf>
    <xf xfId="0" borderId="0" fillId="0" fontId="39" numFmtId="237" applyAlignment="1" applyFont="1">
      <alignment horizontal="right"/>
    </xf>
    <xf xfId="0" borderId="0" fillId="5" fontId="34" numFmtId="15" applyAlignment="1" applyFont="1" applyFill="1">
      <alignment horizontal="right"/>
    </xf>
    <xf xfId="0" borderId="0" fillId="5" fontId="34" numFmtId="241" applyAlignment="1" applyFont="1" applyFill="1">
      <alignment horizontal="right"/>
    </xf>
    <xf xfId="0" borderId="0" fillId="5" fontId="34" numFmtId="1" applyAlignment="1" applyFont="1" applyFill="1">
      <alignment horizontal="right"/>
    </xf>
    <xf xfId="0" borderId="0" fillId="5" fontId="34" numFmtId="235" applyAlignment="1" applyFont="1" applyFill="1">
      <alignment horizontal="right"/>
    </xf>
    <xf xfId="0" borderId="0" fillId="5" fontId="34" numFmtId="233" applyAlignment="1" applyFont="1" applyFill="1">
      <alignment horizontal="right"/>
    </xf>
    <xf xfId="0" borderId="2" fillId="5" fontId="34" numFmtId="238" applyAlignment="1" applyFont="1" applyFill="1">
      <alignment horizontal="right" vertical="center"/>
    </xf>
    <xf xfId="0" borderId="2" fillId="5" fontId="34" numFmtId="237" applyAlignment="1" applyFont="1" applyFill="1">
      <alignment horizontal="right" vertical="center"/>
    </xf>
    <xf xfId="0" borderId="2" fillId="5" fontId="34" numFmtId="232" applyAlignment="1" applyFont="1" applyFill="1">
      <alignment horizontal="right" vertical="center"/>
    </xf>
    <xf xfId="0" borderId="2" fillId="5" fontId="34" numFmtId="1" applyAlignment="1" applyFont="1" applyFill="1">
      <alignment horizontal="right" vertical="center"/>
    </xf>
    <xf xfId="0" borderId="0" fillId="5" fontId="34" numFmtId="238" applyAlignment="1" applyFont="1" applyFill="1">
      <alignment horizontal="right"/>
    </xf>
    <xf xfId="0" borderId="0" fillId="5" fontId="34" numFmtId="242" applyAlignment="1" applyFont="1" applyFill="1">
      <alignment horizontal="right"/>
    </xf>
    <xf xfId="0" borderId="0" fillId="5" fontId="34" numFmtId="243" applyAlignment="1" applyFont="1" applyFill="1">
      <alignment horizontal="right"/>
    </xf>
    <xf xfId="0" borderId="0" fillId="0" fontId="44" numFmtId="0" applyAlignment="1" applyFont="1">
      <alignment horizontal="center" vertical="center"/>
    </xf>
    <xf xfId="0" borderId="0" fillId="0" fontId="44" numFmtId="206" applyAlignment="1" applyFont="1">
      <alignment horizontal="right" vertical="center"/>
    </xf>
    <xf xfId="0" borderId="0" fillId="0" fontId="44" numFmtId="193" applyAlignment="1" applyFont="1">
      <alignment horizontal="right" vertical="center"/>
    </xf>
    <xf xfId="0" borderId="0" fillId="0" fontId="45" numFmtId="237" applyAlignment="1" applyFont="1">
      <alignment horizontal="right" vertical="center"/>
    </xf>
    <xf xfId="0" borderId="0" fillId="0" fontId="47" numFmtId="232" applyAlignment="1" applyFont="1">
      <alignment horizontal="right"/>
    </xf>
    <xf xfId="0" borderId="0" fillId="0" fontId="43" numFmtId="232" applyAlignment="1" applyFont="1">
      <alignment horizontal="right"/>
    </xf>
    <xf xfId="0" borderId="2" fillId="8" fontId="57" numFmtId="234" applyAlignment="1" applyFont="1" applyFill="1">
      <alignment horizontal="right" vertical="center"/>
    </xf>
    <xf xfId="0" borderId="2" fillId="0" fontId="43" numFmtId="244" applyFont="1"/>
    <xf xfId="0" borderId="2" fillId="8" fontId="38" numFmtId="245" applyAlignment="1" applyFont="1" applyFill="1">
      <alignment horizontal="right" vertical="center"/>
    </xf>
    <xf xfId="0" borderId="0" fillId="0" fontId="38" numFmtId="237" applyAlignment="1" applyFont="1">
      <alignment horizontal="right" vertical="center"/>
    </xf>
    <xf xfId="0" borderId="0" fillId="0" fontId="43" numFmtId="238" applyAlignment="1" applyFont="1">
      <alignment vertical="center"/>
    </xf>
    <xf xfId="0" borderId="0" fillId="0" fontId="43" numFmtId="232" applyAlignment="1" applyFont="1">
      <alignment vertical="center"/>
    </xf>
    <xf xfId="0" borderId="0" fillId="0" fontId="43" numFmtId="243" applyAlignment="1" applyFont="1">
      <alignment vertical="center"/>
    </xf>
    <xf xfId="0" borderId="0" fillId="5" fontId="34" numFmtId="237" applyAlignment="1" applyFont="1" applyFill="1">
      <alignment vertical="center"/>
    </xf>
    <xf xfId="0" borderId="0" fillId="0" fontId="39" numFmtId="245" applyAlignment="1" applyFont="1">
      <alignment vertical="center"/>
    </xf>
    <xf xfId="0" borderId="0" fillId="0" fontId="39" numFmtId="242" applyFont="1"/>
    <xf xfId="0" borderId="0" fillId="0" fontId="33" numFmtId="0" applyAlignment="1" applyFont="1">
      <alignment horizontal="left" indent="1"/>
    </xf>
    <xf xfId="0" borderId="0" fillId="0" fontId="38" numFmtId="245" applyAlignment="1" applyFont="1">
      <alignment vertical="center"/>
    </xf>
    <xf xfId="0" borderId="0" fillId="0" fontId="39" numFmtId="232" applyFont="1"/>
    <xf xfId="0" borderId="0" fillId="0" fontId="39" numFmtId="235" applyAlignment="1" applyFont="1">
      <alignment vertical="center"/>
    </xf>
    <xf xfId="0" borderId="2" fillId="10" fontId="46" numFmtId="232" applyAlignment="1" applyFont="1" applyFill="1">
      <alignment vertical="center"/>
    </xf>
    <xf xfId="0" borderId="11" fillId="10" fontId="38" numFmtId="242" applyAlignment="1" applyFont="1" applyFill="1">
      <alignment horizontal="right" vertical="center"/>
    </xf>
    <xf xfId="0" borderId="2" fillId="8" fontId="38" numFmtId="241" applyAlignment="1" applyFont="1" applyFill="1">
      <alignment horizontal="right" vertical="center"/>
    </xf>
    <xf xfId="0" borderId="0" fillId="0" fontId="39" numFmtId="15" applyAlignment="1" applyFont="1">
      <alignment horizontal="right" vertical="center"/>
    </xf>
    <xf xfId="0" borderId="0" fillId="0" fontId="39" numFmtId="212" applyFont="1"/>
    <xf xfId="0" borderId="21" fillId="12" fontId="55" numFmtId="237" applyAlignment="1" applyFont="1" applyFill="1">
      <alignment horizontal="center" vertical="center"/>
    </xf>
    <xf xfId="0" borderId="0" fillId="0" fontId="39" numFmtId="242" applyAlignment="1" applyFont="1">
      <alignment horizontal="center" vertical="center"/>
    </xf>
    <xf xfId="0" borderId="11" fillId="6" fontId="36" numFmtId="0" applyAlignment="1" applyFont="1" applyFill="1">
      <alignment horizontal="right"/>
    </xf>
    <xf xfId="0" borderId="0" fillId="0" fontId="0" numFmtId="240"/>
    <xf xfId="0" borderId="0" fillId="0" fontId="34" numFmtId="1" applyFont="1"/>
    <xf xfId="0" borderId="0" fillId="0" fontId="64" numFmtId="232" applyAlignment="1" applyFont="1">
      <alignment wrapText="1" horizontal="right" vertical="top"/>
    </xf>
    <xf xfId="0" borderId="0" fillId="0" fontId="68" numFmtId="0" applyFont="1"/>
    <xf xfId="0" borderId="23" fillId="2" fontId="36" numFmtId="0" applyAlignment="1" applyFont="1" applyFill="1">
      <alignment horizontal="right" vertical="center"/>
    </xf>
    <xf xfId="0" borderId="2" fillId="0" fontId="45" numFmtId="237" applyAlignment="1" applyFont="1">
      <alignment vertical="center"/>
    </xf>
    <xf xfId="0" borderId="2" fillId="0" fontId="39" numFmtId="232" applyAlignment="1" applyFont="1">
      <alignment vertical="center"/>
    </xf>
    <xf xfId="0" borderId="2" fillId="0" fontId="45" numFmtId="236" applyAlignment="1" applyFont="1">
      <alignment vertical="center"/>
    </xf>
    <xf xfId="0" borderId="13" fillId="8" fontId="38" numFmtId="234" applyFont="1" applyFill="1"/>
    <xf xfId="0" borderId="13" fillId="8" fontId="38" numFmtId="232" applyFont="1" applyFill="1"/>
    <xf xfId="0" borderId="13" fillId="8" fontId="38" numFmtId="234" applyAlignment="1" applyFont="1" applyFill="1">
      <alignment vertical="center"/>
    </xf>
    <xf xfId="0" borderId="13" fillId="8" fontId="38" numFmtId="232" applyAlignment="1" applyFont="1" applyFill="1">
      <alignment vertical="center"/>
    </xf>
    <xf xfId="0" borderId="2" fillId="0" fontId="45" numFmtId="15" applyAlignment="1" applyFont="1">
      <alignment vertical="center"/>
    </xf>
    <xf xfId="0" borderId="2" fillId="0" fontId="45" numFmtId="241" applyAlignment="1" applyFont="1">
      <alignment vertical="center"/>
    </xf>
    <xf xfId="0" borderId="2" fillId="0" fontId="45" numFmtId="232" applyAlignment="1" applyFont="1">
      <alignment vertical="center"/>
    </xf>
    <xf xfId="0" borderId="2" fillId="0" fontId="45" numFmtId="246" applyAlignment="1" applyFont="1">
      <alignment vertical="center"/>
    </xf>
    <xf xfId="0" borderId="13" fillId="8" fontId="57" numFmtId="232" applyFont="1" applyFill="1"/>
    <xf xfId="0" borderId="13" fillId="8" fontId="57" numFmtId="242" applyFont="1" applyFill="1"/>
    <xf xfId="0" borderId="2" fillId="0" fontId="38" numFmtId="0" applyFont="1"/>
    <xf xfId="0" borderId="2" fillId="0" fontId="45" numFmtId="237" applyFont="1"/>
    <xf xfId="0" borderId="0" fillId="0" fontId="47" numFmtId="232" applyFont="1"/>
    <xf xfId="0" borderId="2" fillId="8" fontId="57" numFmtId="234" applyFont="1" applyFill="1"/>
    <xf xfId="0" borderId="0" fillId="0" fontId="45" numFmtId="237" applyFont="1"/>
    <xf xfId="0" borderId="0" fillId="0" fontId="45" numFmtId="236" applyFont="1"/>
    <xf xfId="0" borderId="23" fillId="2" fontId="36" numFmtId="0" applyAlignment="1" applyFont="1" applyFill="1">
      <alignment horizontal="left" vertical="center"/>
    </xf>
    <xf xfId="0" borderId="21" fillId="12" fontId="57" numFmtId="241" applyAlignment="1" applyFont="1" applyFill="1">
      <alignment horizontal="center" vertical="center"/>
    </xf>
    <xf xfId="0" borderId="21" fillId="12" fontId="57" numFmtId="236" applyAlignment="1" applyFont="1" applyFill="1">
      <alignment horizontal="center" vertical="center"/>
    </xf>
    <xf xfId="0" borderId="0" fillId="0" fontId="45" numFmtId="232" applyAlignment="1" applyFont="1">
      <alignment horizontal="center" vertical="center"/>
    </xf>
    <xf xfId="0" borderId="21" fillId="12" fontId="57" numFmtId="237" applyAlignment="1" applyFont="1" applyFill="1">
      <alignment horizontal="center" vertical="center"/>
    </xf>
    <xf xfId="0" borderId="0" fillId="0" fontId="45" numFmtId="242" applyAlignment="1" applyFont="1">
      <alignment horizontal="center" vertical="center"/>
    </xf>
    <xf xfId="0" borderId="2" fillId="0" fontId="45" numFmtId="0" applyFont="1"/>
    <xf xfId="0" borderId="0" fillId="15" fontId="57" numFmtId="206" applyFont="1" applyFill="1"/>
    <xf xfId="0" borderId="0" fillId="15" fontId="57" numFmtId="193" applyFont="1" applyFill="1"/>
    <xf xfId="0" borderId="0" fillId="15" fontId="57" numFmtId="193" applyAlignment="1" applyFont="1" applyFill="1">
      <alignment horizontal="center"/>
    </xf>
    <xf xfId="0" borderId="2" fillId="0" fontId="45" numFmtId="244" applyAlignment="1" applyFont="1">
      <alignment horizontal="right" vertical="center"/>
    </xf>
    <xf xfId="0" borderId="2" fillId="0" fontId="45" numFmtId="237" applyAlignment="1" applyFont="1">
      <alignment horizontal="right" vertical="center"/>
    </xf>
    <xf xfId="0" borderId="13" fillId="8" fontId="57" numFmtId="232" applyAlignment="1" applyFont="1" applyFill="1">
      <alignment horizontal="right"/>
    </xf>
    <xf xfId="0" borderId="13" fillId="8" fontId="57" numFmtId="242" applyAlignment="1" applyFont="1" applyFill="1">
      <alignment horizontal="right"/>
    </xf>
    <xf xfId="0" borderId="2" fillId="0" fontId="45" numFmtId="241" applyAlignment="1" applyFont="1">
      <alignment horizontal="right" vertical="center"/>
    </xf>
    <xf xfId="0" borderId="2" fillId="0" fontId="45" numFmtId="232" applyAlignment="1" applyFont="1">
      <alignment horizontal="right" vertical="center"/>
    </xf>
    <xf xfId="0" borderId="11" fillId="7" fontId="53" numFmtId="193" applyFont="1" applyFill="1"/>
    <xf xfId="0" borderId="11" fillId="7" fontId="53" numFmtId="232" applyFont="1" applyFill="1"/>
    <xf xfId="0" borderId="11" fillId="7" fontId="53" numFmtId="239" applyFont="1" applyFill="1"/>
    <xf xfId="0" borderId="11" fillId="7" fontId="53" numFmtId="240" applyFont="1" applyFill="1"/>
    <xf xfId="0" borderId="0" fillId="5" fontId="34" numFmtId="247" applyAlignment="1" applyFont="1" applyFill="1">
      <alignment horizontal="right"/>
    </xf>
    <xf xfId="0" borderId="0" fillId="5" fontId="34" numFmtId="248" applyAlignment="1" applyFont="1" applyFill="1">
      <alignment horizontal="right"/>
    </xf>
    <xf xfId="0" borderId="0" fillId="0" fontId="39" numFmtId="204" applyAlignment="1" applyFont="1">
      <alignment horizontal="right" vertical="center"/>
    </xf>
    <xf xfId="0" borderId="0" fillId="0" fontId="39" numFmtId="218" applyAlignment="1" applyFont="1">
      <alignment horizontal="right" vertical="center"/>
    </xf>
    <xf xfId="0" borderId="21" fillId="12" fontId="55" numFmtId="247" applyAlignment="1" applyFont="1" applyFill="1">
      <alignment horizontal="center" vertical="center"/>
    </xf>
    <xf xfId="0" borderId="21" fillId="12" fontId="55" numFmtId="248" applyAlignment="1" applyFont="1" applyFill="1">
      <alignment horizontal="center" vertical="center"/>
    </xf>
    <xf xfId="0" borderId="2" fillId="0" fontId="45" numFmtId="218" applyAlignment="1" applyFont="1">
      <alignment vertical="center"/>
    </xf>
    <xf xfId="0" borderId="0" fillId="0" fontId="39" numFmtId="245" applyAlignment="1" applyFont="1">
      <alignment horizontal="right" vertical="center"/>
    </xf>
    <xf xfId="0" borderId="0" fillId="0" fontId="39" numFmtId="0" applyAlignment="1" applyFont="1">
      <alignment vertical="center"/>
    </xf>
    <xf xfId="0" borderId="54" fillId="0" fontId="39" numFmtId="0" applyFont="1"/>
    <xf xfId="0" borderId="56" fillId="0" fontId="39" numFmtId="0" applyFont="1"/>
    <xf xfId="0" borderId="54" fillId="0" fontId="39" numFmtId="0" applyAlignment="1" applyFont="1">
      <alignment horizontal="left" indent="1"/>
    </xf>
    <xf xfId="0" borderId="55" fillId="2" fontId="53" numFmtId="0" applyAlignment="1" applyFont="1" applyFill="1">
      <alignment vertical="center"/>
    </xf>
    <xf xfId="0" borderId="55" fillId="2" fontId="53" numFmtId="0" applyAlignment="1" applyFont="1" applyFill="1">
      <alignment horizontal="right" vertical="center"/>
    </xf>
    <xf xfId="0" borderId="55" fillId="2" fontId="53" numFmtId="0" applyAlignment="1" applyFont="1" applyFill="1">
      <alignment horizontal="left" vertical="center"/>
    </xf>
    <xf xfId="0" borderId="56" fillId="0" fontId="39" numFmtId="249" applyAlignment="1" applyFont="1">
      <alignment vertical="center"/>
    </xf>
    <xf xfId="0" borderId="56" fillId="0" fontId="39" numFmtId="165" applyAlignment="1" applyFont="1">
      <alignment vertical="center"/>
    </xf>
    <xf xfId="0" borderId="56" fillId="0" fontId="39" numFmtId="250" applyAlignment="1" applyFont="1">
      <alignment vertical="center"/>
    </xf>
    <xf xfId="0" borderId="58" fillId="0" fontId="38" numFmtId="0" applyFont="1"/>
    <xf xfId="0" borderId="58" fillId="0" fontId="38" numFmtId="249" applyFont="1"/>
    <xf xfId="0" borderId="58" fillId="0" fontId="38" numFmtId="165" applyFont="1"/>
    <xf xfId="0" borderId="58" fillId="0" fontId="38" numFmtId="0" applyAlignment="1" applyFont="1">
      <alignment vertical="center"/>
    </xf>
    <xf xfId="0" borderId="58" fillId="0" fontId="38" numFmtId="249" applyAlignment="1" applyFont="1">
      <alignment vertical="center"/>
    </xf>
    <xf xfId="0" borderId="58" fillId="0" fontId="38" numFmtId="165" applyAlignment="1" applyFont="1">
      <alignment vertical="center"/>
    </xf>
    <xf xfId="0" borderId="54" fillId="2" fontId="53" numFmtId="0" applyFont="1" applyFill="1"/>
    <xf xfId="0" borderId="54" fillId="2" fontId="53" numFmtId="0" applyAlignment="1" applyFont="1" applyFill="1">
      <alignment horizontal="left"/>
    </xf>
    <xf xfId="0" borderId="60" fillId="0" fontId="39" numFmtId="0" applyFont="1"/>
    <xf xfId="0" borderId="60" fillId="0" fontId="38" numFmtId="251" applyAlignment="1" applyFont="1">
      <alignment horizontal="right"/>
    </xf>
    <xf xfId="0" borderId="54" fillId="0" fontId="39" numFmtId="244" applyAlignment="1" applyFont="1">
      <alignment horizontal="right"/>
    </xf>
    <xf xfId="0" borderId="54" fillId="0" fontId="39" numFmtId="249" applyAlignment="1" applyFont="1">
      <alignment horizontal="right"/>
    </xf>
    <xf xfId="0" borderId="54" fillId="0" fontId="39" numFmtId="165" applyAlignment="1" applyFont="1">
      <alignment horizontal="right"/>
    </xf>
    <xf xfId="0" borderId="54" fillId="0" fontId="39" numFmtId="253" applyAlignment="1" applyFont="1">
      <alignment horizontal="right"/>
    </xf>
    <xf xfId="0" borderId="62" fillId="0" fontId="38" numFmtId="0" applyFont="1"/>
    <xf xfId="0" borderId="62" fillId="0" fontId="38" numFmtId="165" applyAlignment="1" applyFont="1">
      <alignment horizontal="right"/>
    </xf>
    <xf xfId="0" borderId="54" fillId="0" fontId="38" numFmtId="0" applyFont="1"/>
    <xf xfId="0" borderId="54" fillId="0" fontId="38" numFmtId="252" applyAlignment="1" applyFont="1">
      <alignment horizontal="right"/>
    </xf>
    <xf xfId="0" borderId="54" fillId="0" fontId="39" numFmtId="254" applyAlignment="1" applyFont="1">
      <alignment horizontal="right"/>
    </xf>
    <xf xfId="0" borderId="54" fillId="0" fontId="39" numFmtId="164" applyAlignment="1" applyFont="1">
      <alignment horizontal="right"/>
    </xf>
    <xf xfId="0" borderId="54" fillId="0" fontId="39" numFmtId="250" applyAlignment="1" applyFont="1">
      <alignment horizontal="right"/>
    </xf>
    <xf xfId="0" borderId="54" fillId="2" fontId="53" numFmtId="0" applyAlignment="1" applyFont="1" applyFill="1">
      <alignment vertical="center"/>
    </xf>
    <xf xfId="0" borderId="54" fillId="2" fontId="53" numFmtId="0" applyAlignment="1" applyFont="1" applyFill="1">
      <alignment horizontal="left" vertical="center"/>
    </xf>
    <xf xfId="0" borderId="60" fillId="0" fontId="69" numFmtId="44" applyAlignment="1" applyFont="1">
      <alignment horizontal="center" vertical="center"/>
    </xf>
    <xf xfId="0" borderId="60" fillId="0" fontId="39" numFmtId="193" applyAlignment="1" applyFont="1">
      <alignment horizontal="left" vertical="center"/>
    </xf>
    <xf xfId="0" borderId="60" fillId="0" fontId="38" numFmtId="255" applyAlignment="1" applyFont="1">
      <alignment horizontal="right"/>
    </xf>
    <xf xfId="0" borderId="60" fillId="0" fontId="38" numFmtId="0" applyAlignment="1" applyFont="1">
      <alignment horizontal="right"/>
    </xf>
    <xf xfId="0" borderId="60" fillId="0" fontId="38" numFmtId="193" applyAlignment="1" applyFont="1">
      <alignment horizontal="right"/>
    </xf>
    <xf xfId="0" borderId="56" fillId="0" fontId="39" numFmtId="249" applyAlignment="1" applyFont="1">
      <alignment horizontal="right"/>
    </xf>
    <xf xfId="0" borderId="54" fillId="0" fontId="43" numFmtId="0" applyAlignment="1" applyFont="1">
      <alignment horizontal="left" indent="1"/>
    </xf>
    <xf xfId="0" borderId="62" fillId="0" fontId="38" numFmtId="249" applyAlignment="1" applyFont="1">
      <alignment horizontal="right"/>
    </xf>
    <xf xfId="0" borderId="54" fillId="20" fontId="53" numFmtId="0" applyAlignment="1" applyFont="1" applyFill="1">
      <alignment horizontal="left"/>
    </xf>
    <xf xfId="0" borderId="54" fillId="20" fontId="53" numFmtId="0" applyAlignment="1" applyFont="1" applyFill="1">
      <alignment horizontal="centerContinuous"/>
    </xf>
    <xf xfId="0" borderId="0" fillId="11" fontId="53" numFmtId="0" applyAlignment="1" applyFont="1" applyFill="1">
      <alignment vertical="center"/>
    </xf>
    <xf xfId="0" borderId="66" fillId="20" fontId="53" numFmtId="193" applyAlignment="1" applyFont="1" applyFill="1">
      <alignment horizontal="right"/>
    </xf>
    <xf xfId="0" borderId="54" fillId="11" fontId="53" numFmtId="0" applyAlignment="1" applyFont="1" applyFill="1">
      <alignment vertical="center"/>
    </xf>
    <xf xfId="0" borderId="0" fillId="11" fontId="53" numFmtId="0" applyFont="1" applyFill="1"/>
    <xf xfId="0" borderId="54" fillId="11" fontId="53" numFmtId="0" applyFont="1" applyFill="1"/>
    <xf xfId="0" borderId="58" fillId="0" fontId="38" numFmtId="0" applyAlignment="1" applyFont="1">
      <alignment horizontal="left" vertical="center"/>
    </xf>
    <xf xfId="0" borderId="58" fillId="0" fontId="38" numFmtId="0" applyAlignment="1" applyFont="1">
      <alignment horizontal="right" vertical="center"/>
    </xf>
    <xf xfId="0" borderId="58" fillId="0" fontId="38" numFmtId="234" applyAlignment="1" applyFont="1">
      <alignment horizontal="center" vertical="center"/>
    </xf>
    <xf xfId="0" borderId="58" fillId="0" fontId="38" numFmtId="236" applyAlignment="1" applyFont="1">
      <alignment horizontal="center" vertical="center"/>
    </xf>
    <xf xfId="0" borderId="58" fillId="0" fontId="38" numFmtId="199" applyAlignment="1" applyFont="1">
      <alignment horizontal="center" vertical="center"/>
    </xf>
    <xf xfId="0" borderId="62" fillId="0" fontId="38" numFmtId="0" applyAlignment="1" applyFont="1">
      <alignment horizontal="left" vertical="center"/>
    </xf>
    <xf xfId="0" borderId="62" fillId="0" fontId="38" numFmtId="234" applyAlignment="1" applyFont="1">
      <alignment horizontal="right" vertical="center"/>
    </xf>
    <xf xfId="0" borderId="62" fillId="0" fontId="38" numFmtId="232" applyAlignment="1" applyFont="1">
      <alignment horizontal="right" vertical="center"/>
    </xf>
    <xf xfId="0" borderId="62" fillId="0" fontId="33" numFmtId="0" applyFont="1"/>
    <xf xfId="0" borderId="54" fillId="0" fontId="33" numFmtId="0" applyAlignment="1" applyFont="1">
      <alignment vertical="center"/>
    </xf>
    <xf xfId="0" borderId="62" fillId="0" fontId="57" numFmtId="234" applyAlignment="1" applyFont="1">
      <alignment horizontal="right" vertical="center"/>
    </xf>
    <xf xfId="0" borderId="62" fillId="0" fontId="33" numFmtId="0" applyAlignment="1" applyFont="1">
      <alignment vertical="center"/>
    </xf>
    <xf xfId="0" borderId="62" fillId="0" fontId="46" numFmtId="200" applyAlignment="1" applyFont="1">
      <alignment horizontal="right"/>
    </xf>
    <xf xfId="0" borderId="62" fillId="0" fontId="38" numFmtId="198" applyAlignment="1" applyFont="1">
      <alignment horizontal="right" vertical="center"/>
    </xf>
    <xf xfId="0" borderId="62" fillId="0" fontId="38" numFmtId="245" applyAlignment="1" applyFont="1">
      <alignment horizontal="right" vertical="center"/>
    </xf>
    <xf xfId="0" borderId="62" fillId="0" fontId="72" numFmtId="0" applyFont="1"/>
    <xf xfId="0" borderId="62" fillId="0" fontId="33" numFmtId="0" applyAlignment="1" applyFont="1">
      <alignment horizontal="left" indent="1"/>
    </xf>
    <xf xfId="0" borderId="62" fillId="0" fontId="38" numFmtId="245" applyAlignment="1" applyFont="1">
      <alignment vertical="center"/>
    </xf>
    <xf xfId="0" borderId="62" fillId="0" fontId="46" numFmtId="195" applyAlignment="1" applyFont="1">
      <alignment vertical="center"/>
    </xf>
    <xf xfId="0" borderId="62" fillId="0" fontId="46" numFmtId="232" applyAlignment="1" applyFont="1">
      <alignment vertical="center"/>
    </xf>
    <xf xfId="0" borderId="62" fillId="0" fontId="38" numFmtId="241" applyAlignment="1" applyFont="1">
      <alignment horizontal="right" vertical="center"/>
    </xf>
    <xf xfId="0" borderId="66" fillId="0" fontId="38" numFmtId="0" applyAlignment="1" applyFont="1">
      <alignment horizontal="left" vertical="center"/>
    </xf>
    <xf xfId="0" borderId="66" fillId="0" fontId="38" numFmtId="199" applyAlignment="1" applyFont="1">
      <alignment horizontal="right" vertical="center"/>
    </xf>
    <xf xfId="0" borderId="66" fillId="0" fontId="38" numFmtId="242" applyAlignment="1" applyFont="1">
      <alignment horizontal="right" vertical="center"/>
    </xf>
    <xf xfId="0" borderId="0" fillId="0" fontId="69" numFmtId="206" applyAlignment="1" applyFont="1">
      <alignment horizontal="right" vertical="center"/>
    </xf>
    <xf xfId="0" borderId="0" fillId="0" fontId="69" numFmtId="193" applyAlignment="1" applyFont="1">
      <alignment horizontal="right" vertical="center"/>
    </xf>
    <xf xfId="0" borderId="11" fillId="6" fontId="36" numFmtId="0" applyAlignment="1" applyFont="1" applyFill="1">
      <alignment horizontal="left"/>
    </xf>
    <xf xfId="0" borderId="11" fillId="6" fontId="36" numFmtId="0" applyAlignment="1" applyFont="1" applyFill="1">
      <alignment horizontal="centerContinuous"/>
    </xf>
    <xf xfId="0" borderId="11" fillId="7" fontId="36" numFmtId="193" applyFont="1" applyFill="1"/>
    <xf xfId="0" borderId="11" fillId="6" fontId="36" numFmtId="206" applyAlignment="1" applyFont="1" applyFill="1">
      <alignment horizontal="centerContinuous"/>
    </xf>
    <xf xfId="0" borderId="53" fillId="0" fontId="39" numFmtId="195" applyAlignment="1" applyFont="1">
      <alignment horizontal="right"/>
    </xf>
    <xf xfId="0" borderId="53" fillId="0" fontId="39" numFmtId="164" applyAlignment="1" applyFont="1">
      <alignment horizontal="right"/>
    </xf>
    <xf xfId="0" borderId="53" fillId="0" fontId="45" numFmtId="164" applyAlignment="1" applyFont="1">
      <alignment horizontal="right"/>
    </xf>
    <xf xfId="0" borderId="53" fillId="0" fontId="39" numFmtId="165" applyAlignment="1" applyFont="1">
      <alignment horizontal="right"/>
    </xf>
    <xf xfId="0" borderId="53" fillId="0" fontId="45" numFmtId="165" applyAlignment="1" applyFont="1">
      <alignment horizontal="right"/>
    </xf>
    <xf xfId="0" borderId="1" fillId="0" fontId="38" numFmtId="0" applyAlignment="1" applyFont="1">
      <alignment horizontal="left" indent="1"/>
    </xf>
    <xf xfId="0" borderId="1" fillId="0" fontId="33" numFmtId="0" applyFont="1"/>
    <xf xfId="0" borderId="70" fillId="0" fontId="38" numFmtId="195" applyAlignment="1" applyFont="1">
      <alignment horizontal="right"/>
    </xf>
    <xf xfId="0" borderId="70" fillId="0" fontId="38" numFmtId="165" applyAlignment="1" applyFont="1">
      <alignment horizontal="right"/>
    </xf>
    <xf xfId="0" borderId="70" fillId="0" fontId="38" numFmtId="164" applyAlignment="1" applyFont="1">
      <alignment horizontal="right"/>
    </xf>
    <xf xfId="0" borderId="0" fillId="0" fontId="39" numFmtId="232" applyAlignment="1" applyFont="1">
      <alignment horizontal="right"/>
    </xf>
    <xf xfId="0" borderId="0" fillId="0" fontId="39" numFmtId="237" applyAlignment="1" applyFont="1">
      <alignment horizontal="right"/>
    </xf>
    <xf xfId="0" borderId="53" fillId="5" fontId="34" numFmtId="185" applyAlignment="1" applyFont="1" applyFill="1">
      <alignment horizontal="right"/>
    </xf>
    <xf xfId="0" borderId="53" fillId="5" fontId="34" numFmtId="195" applyAlignment="1" applyFont="1" applyFill="1">
      <alignment horizontal="right"/>
    </xf>
    <xf xfId="0" borderId="53" fillId="5" fontId="34" numFmtId="256" applyAlignment="1" applyFont="1" applyFill="1">
      <alignment horizontal="right"/>
    </xf>
    <xf xfId="0" borderId="53" fillId="0" fontId="45" numFmtId="10" applyAlignment="1" applyFont="1">
      <alignment horizontal="right"/>
    </xf>
    <xf xfId="0" borderId="0" fillId="5" fontId="55" numFmtId="257" applyAlignment="1" applyFont="1" applyFill="1">
      <alignment horizontal="right" vertical="center"/>
    </xf>
    <xf xfId="0" borderId="0" fillId="5" fontId="55" numFmtId="258" applyAlignment="1" applyFont="1" applyFill="1">
      <alignment horizontal="right" vertical="center"/>
    </xf>
    <xf xfId="0" borderId="0" fillId="0" fontId="38" numFmtId="0" applyAlignment="1" applyFont="1">
      <alignment vertical="center"/>
    </xf>
    <xf xfId="0" borderId="0" fillId="0" fontId="35" numFmtId="164" applyAlignment="1" applyFont="1">
      <alignment horizontal="right" vertical="center"/>
    </xf>
    <xf xfId="0" borderId="0" fillId="0" fontId="39" numFmtId="164" applyAlignment="1" applyFont="1">
      <alignment horizontal="right"/>
    </xf>
    <xf xfId="0" borderId="1" fillId="0" fontId="33" numFmtId="0" applyAlignment="1" applyFont="1">
      <alignment vertical="center"/>
    </xf>
    <xf xfId="0" borderId="1" fillId="0" fontId="38" numFmtId="0" applyFont="1"/>
    <xf xfId="0" borderId="1" fillId="0" fontId="38" numFmtId="164" applyAlignment="1" applyFont="1">
      <alignment horizontal="right"/>
    </xf>
    <xf xfId="0" borderId="71" fillId="0" fontId="35" numFmtId="212" applyAlignment="1" applyFont="1">
      <alignment horizontal="right" vertical="center"/>
    </xf>
    <xf xfId="0" borderId="71" fillId="0" fontId="55" numFmtId="259" applyAlignment="1" applyFont="1">
      <alignment horizontal="right" vertical="center"/>
    </xf>
    <xf xfId="0" borderId="0" fillId="0" fontId="34" numFmtId="259" applyAlignment="1" applyFont="1">
      <alignment horizontal="right" vertical="center"/>
    </xf>
    <xf xfId="0" borderId="0" fillId="0" fontId="39" numFmtId="260" applyAlignment="1" applyFont="1">
      <alignment horizontal="right"/>
    </xf>
    <xf xfId="0" borderId="0" fillId="19" fontId="38" numFmtId="260" applyAlignment="1" applyFont="1" applyFill="1">
      <alignment horizontal="right"/>
    </xf>
    <xf xfId="0" borderId="71" fillId="0" fontId="55" numFmtId="261" applyAlignment="1" applyFont="1">
      <alignment horizontal="right" vertical="center"/>
    </xf>
    <xf xfId="0" borderId="0" fillId="0" fontId="34" numFmtId="261" applyAlignment="1" applyFont="1">
      <alignment horizontal="right" vertical="center"/>
    </xf>
    <xf xfId="0" borderId="0" fillId="0" fontId="45" numFmtId="185" applyAlignment="1" applyFont="1">
      <alignment vertical="center"/>
    </xf>
    <xf xfId="0" borderId="0" fillId="0" fontId="34" numFmtId="0" applyFont="1"/>
    <xf xfId="0" borderId="0" fillId="0" fontId="45" numFmtId="215" applyFont="1"/>
    <xf xfId="0" borderId="0" fillId="0" fontId="45" numFmtId="192" applyFont="1"/>
    <xf xfId="0" borderId="0" fillId="0" fontId="45" numFmtId="240" applyFont="1"/>
    <xf xfId="0" borderId="0" fillId="0" fontId="39" numFmtId="215" applyFont="1"/>
    <xf xfId="0" borderId="0" fillId="0" fontId="39" numFmtId="192" applyFont="1"/>
    <xf xfId="0" borderId="0" fillId="0" fontId="39" numFmtId="240" applyFont="1"/>
    <xf xfId="0" borderId="0" fillId="0" fontId="45" numFmtId="3" applyFont="1"/>
    <xf xfId="0" borderId="0" fillId="0" fontId="45" numFmtId="263" applyFont="1"/>
    <xf xfId="0" borderId="0" fillId="0" fontId="39" numFmtId="3" applyFont="1"/>
    <xf xfId="0" borderId="0" fillId="0" fontId="39" numFmtId="263" applyFont="1"/>
    <xf xfId="0" borderId="0" fillId="2" fontId="53" numFmtId="0" applyFont="1" applyFill="1"/>
    <xf xfId="0" borderId="0" fillId="0" fontId="39" numFmtId="0" applyAlignment="1" applyFont="1">
      <alignment horizontal="center"/>
    </xf>
    <xf xfId="0" borderId="0" fillId="0" fontId="39" numFmtId="259" applyAlignment="1" applyFont="1">
      <alignment horizontal="right"/>
    </xf>
    <xf xfId="0" borderId="11" fillId="0" fontId="38" numFmtId="259" applyAlignment="1" applyFont="1">
      <alignment horizontal="right"/>
    </xf>
    <xf xfId="0" borderId="0" fillId="0" fontId="39" numFmtId="165" applyAlignment="1" applyFont="1">
      <alignment horizontal="right"/>
    </xf>
    <xf xfId="0" borderId="0" fillId="19" fontId="38" numFmtId="165" applyAlignment="1" applyFont="1" applyFill="1">
      <alignment horizontal="right"/>
    </xf>
    <xf xfId="0" borderId="11" fillId="0" fontId="39" numFmtId="0" applyAlignment="1" applyFont="1">
      <alignment wrapText="1" vertical="bottom"/>
    </xf>
    <xf xfId="0" borderId="0" fillId="0" fontId="39" numFmtId="261" applyAlignment="1" applyFont="1">
      <alignment horizontal="right"/>
    </xf>
    <xf xfId="0" borderId="11" fillId="0" fontId="38" numFmtId="261" applyAlignment="1" applyFont="1">
      <alignment horizontal="right"/>
    </xf>
    <xf xfId="0" borderId="0" fillId="0" fontId="39" numFmtId="252" applyAlignment="1" applyFont="1">
      <alignment horizontal="right"/>
    </xf>
    <xf xfId="0" borderId="0" fillId="19" fontId="38" numFmtId="252" applyAlignment="1" applyFont="1" applyFill="1">
      <alignment horizontal="right"/>
    </xf>
    <xf xfId="0" borderId="11" fillId="0" fontId="38" numFmtId="0" applyFont="1"/>
    <xf xfId="0" borderId="11" fillId="0" fontId="38" numFmtId="0" applyAlignment="1" applyFont="1">
      <alignment horizontal="right"/>
    </xf>
    <xf xfId="0" borderId="0" fillId="0" fontId="39" numFmtId="253" applyAlignment="1" applyFont="1">
      <alignment horizontal="right"/>
    </xf>
    <xf xfId="0" borderId="0" fillId="0" fontId="39" numFmtId="184" applyAlignment="1" applyFont="1">
      <alignment horizontal="right"/>
    </xf>
    <xf xfId="0" borderId="2" fillId="0" fontId="38" numFmtId="0" applyFont="1"/>
    <xf xfId="0" borderId="2" fillId="0" fontId="38" numFmtId="184" applyAlignment="1" applyFont="1">
      <alignment horizontal="right"/>
    </xf>
    <xf xfId="0" borderId="2" fillId="0" fontId="38" numFmtId="164" applyAlignment="1" applyFont="1">
      <alignment horizontal="right"/>
    </xf>
    <xf xfId="0" borderId="0" fillId="0" fontId="39" numFmtId="249" applyAlignment="1" applyFont="1">
      <alignment horizontal="right"/>
    </xf>
    <xf xfId="0" borderId="2" fillId="0" fontId="38" numFmtId="249" applyAlignment="1" applyFont="1">
      <alignment horizontal="right"/>
    </xf>
    <xf xfId="0" borderId="2" fillId="0" fontId="38" numFmtId="252" applyAlignment="1" applyFont="1">
      <alignment horizontal="right"/>
    </xf>
    <xf xfId="0" borderId="0" fillId="0" fontId="38" numFmtId="165" applyAlignment="1" applyFont="1">
      <alignment horizontal="right"/>
    </xf>
    <xf xfId="0" borderId="11" fillId="0" fontId="38" numFmtId="0" applyAlignment="1" applyFont="1">
      <alignment horizontal="center"/>
    </xf>
    <xf xfId="0" borderId="11" fillId="0" fontId="39" numFmtId="0" applyFont="1"/>
    <xf xfId="0" borderId="11" fillId="0" fontId="38" numFmtId="193" applyAlignment="1" applyFont="1">
      <alignment horizontal="right"/>
    </xf>
    <xf xfId="0" borderId="0" fillId="0" fontId="39" numFmtId="250" applyAlignment="1" applyFont="1">
      <alignment horizontal="right"/>
    </xf>
    <xf xfId="0" borderId="0" fillId="0" fontId="39" numFmtId="0" applyAlignment="1" applyFont="1">
      <alignment indent="1"/>
    </xf>
    <xf xfId="0" borderId="0" fillId="0" fontId="38" numFmtId="0" applyAlignment="1" applyFont="1">
      <alignment indent="1"/>
    </xf>
    <xf xfId="0" borderId="0" fillId="0" fontId="39" numFmtId="262" applyAlignment="1" applyFont="1">
      <alignment horizontal="right"/>
    </xf>
    <xf xfId="0" borderId="0" fillId="19" fontId="38" numFmtId="262" applyAlignment="1" applyFont="1" applyFill="1">
      <alignment horizontal="right"/>
    </xf>
    <xf xfId="0" borderId="0" fillId="0" fontId="25" numFmtId="0" applyFont="1"/>
    <xf xfId="0" borderId="0" fillId="21" fontId="53" numFmtId="0" applyFont="1" applyFill="1"/>
    <xf xfId="0" borderId="59" fillId="0" fontId="38" numFmtId="0" applyAlignment="1" applyFont="1">
      <alignment horizontal="right"/>
    </xf>
    <xf xfId="0" borderId="0" fillId="0" fontId="38" numFmtId="0" applyAlignment="1" applyFont="1">
      <alignment horizontal="left"/>
    </xf>
    <xf xfId="0" borderId="0" fillId="0" fontId="39" numFmtId="266" applyFont="1"/>
    <xf xfId="0" borderId="0" fillId="0" fontId="39" numFmtId="268" applyFont="1"/>
    <xf xfId="0" borderId="0" fillId="0" fontId="39" numFmtId="271" applyFont="1"/>
    <xf xfId="0" borderId="0" fillId="5" fontId="34" numFmtId="266" applyFont="1" applyFill="1"/>
    <xf xfId="0" borderId="0" fillId="5" fontId="34" numFmtId="267" applyFont="1" applyFill="1"/>
    <xf xfId="0" borderId="0" fillId="5" fontId="34" numFmtId="268" applyFont="1" applyFill="1"/>
    <xf xfId="0" borderId="0" fillId="5" fontId="34" numFmtId="9" applyFont="1" applyFill="1"/>
    <xf xfId="0" borderId="0" fillId="5" fontId="34" numFmtId="269" applyFont="1" applyFill="1"/>
    <xf xfId="0" borderId="0" fillId="0" fontId="34" numFmtId="1" applyFont="1"/>
    <xf xfId="0" borderId="0" fillId="5" fontId="34" numFmtId="1" applyAlignment="1" applyFont="1" applyFill="1">
      <alignment horizontal="right"/>
    </xf>
    <xf xfId="0" borderId="0" fillId="5" fontId="34" numFmtId="266" applyAlignment="1" applyFont="1" applyFill="1">
      <alignment horizontal="right"/>
    </xf>
    <xf xfId="0" borderId="0" fillId="0" fontId="39" numFmtId="266" applyAlignment="1" applyFont="1">
      <alignment horizontal="right"/>
    </xf>
    <xf xfId="0" borderId="0" fillId="5" fontId="34" numFmtId="267" applyAlignment="1" applyFont="1" applyFill="1">
      <alignment horizontal="right"/>
    </xf>
    <xf xfId="0" borderId="0" fillId="0" fontId="39" numFmtId="267" applyAlignment="1" applyFont="1">
      <alignment horizontal="right"/>
    </xf>
    <xf xfId="0" borderId="0" fillId="5" fontId="34" numFmtId="193" applyAlignment="1" applyFont="1" applyFill="1">
      <alignment horizontal="right"/>
    </xf>
    <xf xfId="0" borderId="0" fillId="0" fontId="39" numFmtId="193" applyAlignment="1" applyFont="1">
      <alignment horizontal="right"/>
    </xf>
    <xf xfId="0" borderId="0" fillId="5" fontId="34" numFmtId="268" applyAlignment="1" applyFont="1" applyFill="1">
      <alignment horizontal="right"/>
    </xf>
    <xf xfId="0" borderId="0" fillId="0" fontId="39" numFmtId="268" applyAlignment="1" applyFont="1">
      <alignment horizontal="right"/>
    </xf>
    <xf xfId="0" borderId="0" fillId="5" fontId="34" numFmtId="9" applyAlignment="1" applyFont="1" applyFill="1">
      <alignment horizontal="right"/>
    </xf>
    <xf xfId="0" borderId="0" fillId="0" fontId="39" numFmtId="9" applyAlignment="1" applyFont="1">
      <alignment horizontal="right"/>
    </xf>
    <xf xfId="0" borderId="0" fillId="5" fontId="34" numFmtId="269" applyAlignment="1" applyFont="1" applyFill="1">
      <alignment horizontal="right"/>
    </xf>
    <xf xfId="0" borderId="0" fillId="0" fontId="39" numFmtId="269" applyAlignment="1" applyFont="1">
      <alignment horizontal="right"/>
    </xf>
    <xf xfId="0" borderId="0" fillId="0" fontId="45" numFmtId="270" applyAlignment="1" applyFont="1">
      <alignment horizontal="right"/>
    </xf>
    <xf xfId="0" borderId="0" fillId="0" fontId="39" numFmtId="270" applyAlignment="1" applyFont="1">
      <alignment horizontal="right"/>
    </xf>
    <xf xfId="0" borderId="0" fillId="0" fontId="45" numFmtId="271" applyAlignment="1" applyFont="1">
      <alignment horizontal="right"/>
    </xf>
    <xf xfId="0" borderId="0" fillId="0" fontId="39" numFmtId="271" applyAlignment="1" applyFont="1">
      <alignment horizontal="right"/>
    </xf>
    <xf xfId="0" borderId="0" fillId="0" fontId="39" numFmtId="0" applyAlignment="1" applyFont="1">
      <alignment horizontal="right"/>
    </xf>
    <xf xfId="0" borderId="0" fillId="0" fontId="39" numFmtId="1" applyAlignment="1" applyFont="1">
      <alignment horizontal="right"/>
    </xf>
    <xf xfId="0" borderId="0" fillId="0" fontId="45" numFmtId="260" applyFont="1"/>
    <xf xfId="0" borderId="0" fillId="0" fontId="34" numFmtId="260" applyFont="1"/>
    <xf xfId="0" borderId="0" fillId="0" fontId="39" numFmtId="260" applyFont="1"/>
    <xf xfId="0" borderId="0" fillId="0" fontId="45" numFmtId="272" applyFont="1"/>
    <xf xfId="0" borderId="0" fillId="0" fontId="34" numFmtId="272" applyFont="1"/>
    <xf xfId="0" borderId="0" fillId="0" fontId="39" numFmtId="273" applyFont="1"/>
    <xf xfId="0" borderId="59" fillId="0" fontId="55" numFmtId="266" applyAlignment="1" applyFont="1">
      <alignment horizontal="right"/>
    </xf>
    <xf xfId="0" borderId="0" fillId="0" fontId="34" numFmtId="267" applyAlignment="1" applyFont="1">
      <alignment horizontal="right"/>
    </xf>
    <xf xfId="0" borderId="0" fillId="0" fontId="39" numFmtId="260" applyAlignment="1" applyFont="1">
      <alignment horizontal="right"/>
    </xf>
    <xf xfId="0" borderId="59" fillId="0" fontId="39" numFmtId="212" applyFont="1"/>
    <xf xfId="0" borderId="0" fillId="19" fontId="38" numFmtId="260" applyAlignment="1" applyFont="1" applyFill="1">
      <alignment horizontal="right"/>
    </xf>
    <xf xfId="0" borderId="0" fillId="0" fontId="39" numFmtId="274" applyFont="1"/>
    <xf xfId="0" borderId="59" fillId="0" fontId="55" numFmtId="193" applyAlignment="1" applyFont="1">
      <alignment horizontal="right"/>
    </xf>
    <xf xfId="0" borderId="0" fillId="0" fontId="39" numFmtId="272" applyAlignment="1" applyFont="1">
      <alignment horizontal="right"/>
    </xf>
    <xf xfId="0" borderId="0" fillId="19" fontId="38" numFmtId="272" applyAlignment="1" applyFont="1" applyFill="1">
      <alignment horizontal="right"/>
    </xf>
    <xf xfId="0" borderId="59" fillId="0" fontId="55" numFmtId="275" applyAlignment="1" applyFont="1">
      <alignment horizontal="right"/>
    </xf>
    <xf xfId="0" borderId="0" fillId="0" fontId="34" numFmtId="275" applyAlignment="1" applyFont="1">
      <alignment horizontal="right"/>
    </xf>
    <xf xfId="0" borderId="0" fillId="0" fontId="43" numFmtId="260" applyFont="1"/>
    <xf xfId="0" borderId="0" fillId="5" fontId="34" numFmtId="270" applyFont="1" applyFill="1"/>
    <xf xfId="0" borderId="0" fillId="5" fontId="34" numFmtId="271" applyFont="1" applyFill="1"/>
    <xf xfId="0" borderId="59" fillId="0" fontId="55" numFmtId="276" applyAlignment="1" applyFont="1">
      <alignment horizontal="right"/>
    </xf>
    <xf xfId="0" borderId="59" fillId="0" fontId="55" numFmtId="277" applyAlignment="1" applyFont="1">
      <alignment horizontal="right"/>
    </xf>
    <xf xfId="0" borderId="0" fillId="0" fontId="34" numFmtId="1" applyAlignment="1" applyFont="1">
      <alignment horizontal="right"/>
    </xf>
    <xf xfId="0" borderId="0" fillId="0" fontId="73" numFmtId="0" applyFont="1"/>
    <xf xfId="0" borderId="0" fillId="0" fontId="73" numFmtId="49" applyFont="1"/>
    <xf xfId="0" borderId="0" fillId="0" fontId="15" numFmtId="0" applyFont="1"/>
    <xf xfId="0" borderId="0" fillId="0" fontId="39" numFmtId="261" applyFont="1"/>
    <xf xfId="0" borderId="0" fillId="0" fontId="38" numFmtId="260" applyFont="1"/>
    <xf xfId="0" borderId="1" fillId="0" fontId="38" numFmtId="0" applyFont="1"/>
    <xf xfId="0" borderId="1" fillId="0" fontId="38" numFmtId="260" applyFont="1"/>
    <xf xfId="0" borderId="1" fillId="0" fontId="39" numFmtId="0" applyFont="1"/>
    <xf xfId="0" borderId="0" fillId="0" fontId="43" numFmtId="266" applyFont="1"/>
    <xf xfId="0" borderId="0" fillId="0" fontId="38" numFmtId="272" applyFont="1"/>
    <xf xfId="0" borderId="59" fillId="0" fontId="74" numFmtId="0" applyAlignment="1" applyFont="1">
      <alignment horizontal="right"/>
    </xf>
    <xf xfId="0" borderId="0" fillId="0" fontId="75" numFmtId="3" applyFont="1"/>
    <xf xfId="0" borderId="0" fillId="0" fontId="75" numFmtId="2" applyFont="1"/>
    <xf xfId="0" borderId="0" fillId="0" fontId="73" numFmtId="3" applyFont="1"/>
    <xf xfId="0" borderId="0" fillId="0" fontId="73" numFmtId="274" applyFont="1"/>
    <xf xfId="0" borderId="0" fillId="0" fontId="73" numFmtId="2" applyFont="1"/>
    <xf xfId="0" borderId="59" fillId="0" fontId="38" numFmtId="193" applyAlignment="1" applyFont="1">
      <alignment horizontal="right"/>
    </xf>
    <xf xfId="0" borderId="0" fillId="0" fontId="45" numFmtId="268" applyFont="1"/>
    <xf xfId="0" borderId="0" fillId="0" fontId="45" numFmtId="0" applyFont="1"/>
    <xf xfId="0" borderId="0" fillId="0" fontId="45" numFmtId="3" applyFont="1"/>
    <xf xfId="0" borderId="0" fillId="5" fontId="34" numFmtId="274" applyFont="1" applyFill="1"/>
    <xf xfId="0" borderId="0" fillId="0" fontId="69" numFmtId="0" applyAlignment="1" applyFont="1">
      <alignment horizontal="centerContinuous"/>
    </xf>
    <xf xfId="0" borderId="0" fillId="0" fontId="38" numFmtId="274" applyAlignment="1" applyFont="1">
      <alignment horizontal="right"/>
    </xf>
    <xf xfId="0" borderId="0" fillId="0" fontId="38" numFmtId="268" applyAlignment="1" applyFont="1">
      <alignment horizontal="right"/>
    </xf>
    <xf xfId="0" borderId="59" fillId="0" fontId="55" numFmtId="279" applyAlignment="1" applyFont="1">
      <alignment horizontal="right"/>
    </xf>
    <xf xfId="0" borderId="59" fillId="0" fontId="55" numFmtId="280" applyAlignment="1" applyFont="1">
      <alignment horizontal="right"/>
    </xf>
    <xf xfId="0" borderId="0" fillId="0" fontId="34" numFmtId="268" applyAlignment="1" applyFont="1">
      <alignment horizontal="right"/>
    </xf>
    <xf xfId="0" borderId="0" fillId="0" fontId="73" numFmtId="260" applyFont="1"/>
    <xf xfId="0" borderId="0" fillId="0" fontId="47" numFmtId="271" applyFont="1"/>
    <xf xfId="0" borderId="0" fillId="0" fontId="47" numFmtId="274" applyFont="1"/>
    <xf xfId="0" borderId="0" fillId="0" fontId="47" numFmtId="260" applyFont="1"/>
    <xf xfId="0" borderId="0" fillId="0" fontId="47" numFmtId="272" applyFont="1"/>
    <xf xfId="0" borderId="0" fillId="0" fontId="47" numFmtId="3" applyFont="1"/>
    <xf xfId="0" borderId="0" fillId="0" fontId="39" numFmtId="274" applyAlignment="1" applyFont="1">
      <alignment horizontal="right"/>
    </xf>
    <xf xfId="0" borderId="0" fillId="0" fontId="38" numFmtId="260" applyAlignment="1" applyFont="1">
      <alignment horizontal="right"/>
    </xf>
    <xf xfId="0" borderId="0" fillId="0" fontId="38" numFmtId="272" applyAlignment="1" applyFont="1">
      <alignment horizontal="right"/>
    </xf>
    <xf xfId="0" borderId="0" fillId="2" fontId="53" numFmtId="0" applyAlignment="1" applyFont="1" applyFill="1">
      <alignment horizontal="right"/>
    </xf>
    <xf xfId="0" borderId="0" fillId="0" fontId="69" numFmtId="0" applyAlignment="1" applyFont="1">
      <alignment horizontal="right"/>
    </xf>
    <xf xfId="0" borderId="0" fillId="0" fontId="43" numFmtId="0" applyAlignment="1" applyFont="1">
      <alignment horizontal="right"/>
    </xf>
    <xf xfId="0" borderId="0" fillId="0" fontId="43" numFmtId="0" applyAlignment="1" applyFont="1">
      <alignment horizontal="centerContinuous"/>
    </xf>
    <xf xfId="0" borderId="59" fillId="0" fontId="38" numFmtId="266" applyAlignment="1" applyFont="1">
      <alignment horizontal="right"/>
    </xf>
    <xf xfId="0" borderId="59" fillId="0" fontId="38" numFmtId="275" applyAlignment="1" applyFont="1">
      <alignment horizontal="right"/>
    </xf>
    <xf xfId="0" borderId="0" fillId="0" fontId="39" numFmtId="275" applyAlignment="1" applyFont="1">
      <alignment horizontal="right"/>
    </xf>
    <xf xfId="0" borderId="59" fillId="0" fontId="39" numFmtId="0" applyFont="1"/>
    <xf xfId="0" borderId="0" fillId="0" fontId="76" numFmtId="0" applyFont="1"/>
    <xf xfId="0" borderId="0" fillId="0" fontId="39" numFmtId="232" applyAlignment="1" applyFont="1">
      <alignment horizontal="right"/>
    </xf>
    <xf xfId="0" borderId="11" fillId="6" fontId="36" numFmtId="0" applyAlignment="1" applyFont="1" applyFill="1">
      <alignment horizontal="right"/>
    </xf>
    <xf xfId="0" borderId="0" fillId="0" fontId="45" numFmtId="15" applyAlignment="1" applyFont="1">
      <alignment horizontal="right"/>
    </xf>
    <xf xfId="0" borderId="0" fillId="0" fontId="45" numFmtId="237" applyAlignment="1" applyFont="1">
      <alignment horizontal="right" vertical="center"/>
    </xf>
    <xf xfId="0" borderId="0" fillId="5" fontId="55" numFmtId="267" applyAlignment="1" applyFont="1" applyFill="1">
      <alignment horizontal="right" vertical="center"/>
    </xf>
    <xf xfId="0" borderId="0" fillId="5" fontId="55" numFmtId="261" applyAlignment="1" applyFont="1" applyFill="1">
      <alignment horizontal="right" vertical="center"/>
    </xf>
    <xf xfId="0" borderId="0" fillId="5" fontId="34" numFmtId="281" applyAlignment="1" applyFont="1" applyFill="1">
      <alignment horizontal="right"/>
    </xf>
    <xf xfId="0" borderId="0" fillId="5" fontId="34" numFmtId="235" applyAlignment="1" applyFont="1" applyFill="1">
      <alignment horizontal="right"/>
    </xf>
    <xf xfId="0" borderId="0" fillId="0" fontId="39" numFmtId="233" applyAlignment="1" applyFont="1">
      <alignment horizontal="right" vertical="center"/>
    </xf>
    <xf xfId="0" borderId="0" fillId="5" fontId="34" numFmtId="282" applyAlignment="1" applyFont="1" applyFill="1">
      <alignment horizontal="right"/>
    </xf>
    <xf xfId="0" borderId="0" fillId="0" fontId="39" numFmtId="235" applyAlignment="1" applyFont="1">
      <alignment horizontal="right"/>
    </xf>
    <xf xfId="0" borderId="0" fillId="0" fontId="39" numFmtId="15" applyAlignment="1" applyFont="1">
      <alignment horizontal="right"/>
    </xf>
    <xf xfId="0" borderId="0" fillId="5" fontId="34" numFmtId="232" applyAlignment="1" applyFont="1" applyFill="1">
      <alignment horizontal="right"/>
    </xf>
    <xf xfId="0" borderId="0" fillId="5" fontId="34" numFmtId="283" applyAlignment="1" applyFont="1" applyFill="1">
      <alignment horizontal="right"/>
    </xf>
    <xf xfId="0" borderId="0" fillId="5" fontId="34" numFmtId="233" applyAlignment="1" applyFont="1" applyFill="1">
      <alignment horizontal="right" vertical="center"/>
    </xf>
    <xf xfId="0" borderId="0" fillId="5" fontId="34" numFmtId="235" applyAlignment="1" applyFont="1" applyFill="1">
      <alignment horizontal="right" vertical="center"/>
    </xf>
    <xf xfId="0" borderId="0" fillId="0" fontId="39" numFmtId="282" applyAlignment="1" applyFont="1">
      <alignment horizontal="right" vertical="center"/>
    </xf>
    <xf xfId="0" borderId="0" fillId="20" fontId="53" numFmtId="0" applyAlignment="1" applyFont="1" applyFill="1">
      <alignment horizontal="left"/>
    </xf>
    <xf xfId="0" borderId="0" fillId="20" fontId="53" numFmtId="0" applyAlignment="1" applyFont="1" applyFill="1">
      <alignment horizontal="centerContinuous"/>
    </xf>
    <xf xfId="0" borderId="0" fillId="0" fontId="39" numFmtId="237" applyAlignment="1" applyFont="1">
      <alignment horizontal="right" vertical="center"/>
    </xf>
    <xf xfId="0" borderId="0" fillId="21" fontId="53" numFmtId="237" applyAlignment="1" applyFont="1" applyFill="1">
      <alignment horizontal="right" vertical="center"/>
    </xf>
    <xf xfId="0" borderId="0" fillId="21" fontId="53" numFmtId="0" applyAlignment="1" applyFont="1" applyFill="1">
      <alignment vertical="center"/>
    </xf>
    <xf xfId="0" borderId="0" fillId="21" fontId="53" numFmtId="0" applyAlignment="1" applyFont="1" applyFill="1">
      <alignment wrapText="1" horizontal="right" vertical="center"/>
    </xf>
    <xf xfId="0" borderId="0" fillId="21" fontId="53" numFmtId="0" applyAlignment="1" applyFont="1" applyFill="1">
      <alignment horizontal="right" vertical="center"/>
    </xf>
    <xf xfId="0" borderId="0" fillId="21" fontId="53" numFmtId="0" applyAlignment="1" applyFont="1" applyFill="1">
      <alignment horizontal="right"/>
    </xf>
    <xf xfId="0" borderId="0" fillId="0" fontId="39" numFmtId="235" applyAlignment="1" applyFont="1">
      <alignment horizontal="right" vertical="center"/>
    </xf>
    <xf xfId="0" borderId="0" fillId="5" fontId="34" numFmtId="237" applyAlignment="1" applyFont="1" applyFill="1">
      <alignment horizontal="right" vertical="center"/>
    </xf>
    <xf xfId="0" borderId="0" fillId="5" fontId="34" numFmtId="282" applyAlignment="1" applyFont="1" applyFill="1">
      <alignment horizontal="right" vertical="center"/>
    </xf>
    <xf xfId="0" borderId="2" fillId="0" fontId="33" numFmtId="0" applyFont="1"/>
    <xf xfId="0" borderId="2" fillId="0" fontId="33" numFmtId="0" applyAlignment="1" applyFont="1">
      <alignment vertical="center"/>
    </xf>
    <xf xfId="0" borderId="2" fillId="0" fontId="38" numFmtId="282" applyAlignment="1" applyFont="1">
      <alignment horizontal="right" vertical="center"/>
    </xf>
    <xf xfId="0" borderId="2" fillId="0" fontId="38" numFmtId="235" applyAlignment="1" applyFont="1">
      <alignment horizontal="right" vertical="center"/>
    </xf>
    <xf xfId="0" borderId="2" fillId="0" fontId="38" numFmtId="235" applyAlignment="1" applyFont="1">
      <alignment horizontal="right"/>
    </xf>
    <xf xfId="0" borderId="0" fillId="0" fontId="43" numFmtId="282" applyAlignment="1" applyFont="1">
      <alignment horizontal="right" vertical="center"/>
    </xf>
    <xf xfId="0" borderId="0" fillId="0" fontId="43" numFmtId="235" applyAlignment="1" applyFont="1">
      <alignment horizontal="right" vertical="center"/>
    </xf>
    <xf xfId="0" borderId="0" fillId="0" fontId="43" numFmtId="235" applyAlignment="1" applyFont="1">
      <alignment horizontal="right"/>
    </xf>
    <xf xfId="0" borderId="2" fillId="0" fontId="38" numFmtId="245" applyAlignment="1" applyFont="1">
      <alignment horizontal="right" vertical="center"/>
    </xf>
    <xf xfId="0" borderId="0" fillId="0" fontId="39" numFmtId="232" applyAlignment="1" applyFont="1">
      <alignment horizontal="right" vertical="center"/>
    </xf>
    <xf xfId="0" borderId="0" fillId="0" fontId="39" numFmtId="235" applyAlignment="1" applyFont="1">
      <alignment vertical="center"/>
    </xf>
    <xf xfId="0" borderId="0" fillId="0" fontId="39" numFmtId="164" applyAlignment="1" applyFont="1">
      <alignment horizontal="right"/>
    </xf>
    <xf xfId="0" borderId="0" fillId="0" fontId="43" numFmtId="249" applyAlignment="1" applyFont="1">
      <alignment vertical="center"/>
    </xf>
    <xf xfId="0" borderId="0" fillId="0" fontId="43" numFmtId="0" applyAlignment="1" applyFont="1">
      <alignment vertical="center"/>
    </xf>
    <xf xfId="0" borderId="0" fillId="0" fontId="39" numFmtId="184" applyAlignment="1" applyFont="1">
      <alignment horizontal="right"/>
    </xf>
    <xf xfId="0" borderId="0" fillId="0" fontId="43" numFmtId="164" applyAlignment="1" applyFont="1">
      <alignment horizontal="right"/>
    </xf>
    <xf xfId="0" borderId="0" fillId="0" fontId="45" numFmtId="284" applyAlignment="1" applyFont="1">
      <alignment horizontal="right"/>
    </xf>
    <xf xfId="0" borderId="0" fillId="0" fontId="39" numFmtId="284" applyAlignment="1" applyFont="1">
      <alignment horizontal="right"/>
    </xf>
    <xf xfId="0" borderId="0" fillId="5" fontId="34" numFmtId="241" applyAlignment="1" applyFont="1" applyFill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2" Type="http://schemas.openxmlformats.org/officeDocument/2006/relationships/theme" Target="theme/theme1.xml"/><Relationship Id="rId13" Type="http://schemas.openxmlformats.org/officeDocument/2006/relationships/sheetMetadata" Target="metadata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900" b="1">
                <a:latin typeface="Arial"/>
              </a:defRPr>
            </a:pPr>
            <a:r>
              <a:rPr lang="en-US"/>
              <a:t>Change in FY2030 IRR vs. base case</a:t>
            </a:r>
          </a:p>
        </c:rich>
      </c:tx>
      <c:overlay val="0"/>
    </c:title>
    <c:plotArea>
      <c:barChart>
        <c:barDir val="bar"/>
        <c:grouping val="clustered"/>
        <c:varyColors val="0"/>
        <c:ser>
          <c:idx val="0"/>
          <c:order val="0"/>
          <c:tx>
            <c:v>Low end of range</c:v>
          </c:tx>
          <c:spPr>
            <a:solidFill>
              <a:srgbClr val="C00000"/>
            </a:solidFill>
            <a:ln>
              <a:noFill/>
            </a:ln>
          </c:spPr>
          <c:invertIfNegative val="0"/>
          <c:dLbls>
            <c:numFmt formatCode="+0.0%;(0.0%);;"/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Sensitivities!$Z$73:$Z$83</c:f>
              <c:strCache>
                <c:ptCount val="11"/>
                <c:pt idx="0">
                  <c:v>Revenue growth ±2pp</c:v>
                </c:pt>
                <c:pt idx="1">
                  <c:v>Exit multiple ±2.0x</c:v>
                </c:pt>
                <c:pt idx="2">
                  <c:v>EBITDA margin ±2pp</c:v>
                </c:pt>
                <c:pt idx="3">
                  <c:v>Entry price ±$1.00</c:v>
                </c:pt>
                <c:pt idx="4">
                  <c:v>SBC as cash 50% / 100%</c:v>
                </c:pt>
                <c:pt idx="5">
                  <c:v>SOFR ±100bps</c:v>
                </c:pt>
                <c:pt idx="6">
                  <c:v>Merger costs $100m / $150m</c:v>
                </c:pt>
                <c:pt idx="7">
                  <c:v>Minimum cash $50m / $150m</c:v>
                </c:pt>
                <c:pt idx="8">
                  <c:v>NWC ±0.7pp</c:v>
                </c:pt>
                <c:pt idx="9">
                  <c:v>Capex (0.5pp) / +0.9pp</c:v>
                </c:pt>
                <c:pt idx="10">
                  <c:v>PIK off / on</c:v>
                </c:pt>
              </c:strCache>
            </c:strRef>
          </c:cat>
          <c:val>
            <c:numRef>
              <c:f>Sensitivities!$I$73:$I$83</c:f>
              <c:numCache>
                <c:formatCode>+0.0%;(0.0%);0.0%</c:formatCode>
                <c:ptCount val="11"/>
                <c:pt idx="0">
                  <c:v>-0.03574666976928709</c:v>
                </c:pt>
                <c:pt idx="1">
                  <c:v>-0.025983095169067355</c:v>
                </c:pt>
                <c:pt idx="2">
                  <c:v>-0.019053936004638672</c:v>
                </c:pt>
                <c:pt idx="3">
                  <c:v>0.014759743213653587</c:v>
                </c:pt>
                <c:pt idx="4">
                  <c:v>0.007157278060913069</c:v>
                </c:pt>
                <c:pt idx="5">
                  <c:v>0.002657663822174139</c:v>
                </c:pt>
                <c:pt idx="6">
                  <c:v>0.0011299729347229448</c:v>
                </c:pt>
                <c:pt idx="7">
                  <c:v>0.0005836606025696467</c:v>
                </c:pt>
                <c:pt idx="8">
                  <c:v>0.0009022355079650879</c:v>
                </c:pt>
                <c:pt idx="9">
                  <c:v>0.0006132364273071789</c:v>
                </c:pt>
                <c:pt idx="10">
                  <c:v>0.0003624677658081443</c:v>
                </c:pt>
              </c:numCache>
            </c:numRef>
          </c:val>
        </c:ser>
        <c:ser>
          <c:idx val="1"/>
          <c:order val="1"/>
          <c:tx>
            <c:v>High end of range</c:v>
          </c:tx>
          <c:spPr>
            <a:solidFill>
              <a:srgbClr val="002060"/>
            </a:solidFill>
            <a:ln>
              <a:noFill/>
            </a:ln>
          </c:spPr>
          <c:invertIfNegative val="0"/>
          <c:dLbls>
            <c:numFmt formatCode="+0.0%;(0.0%);;"/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Sensitivities!$Z$73:$Z$83</c:f>
              <c:strCache>
                <c:ptCount val="11"/>
                <c:pt idx="0">
                  <c:v>Revenue growth ±2pp</c:v>
                </c:pt>
                <c:pt idx="1">
                  <c:v>Exit multiple ±2.0x</c:v>
                </c:pt>
                <c:pt idx="2">
                  <c:v>EBITDA margin ±2pp</c:v>
                </c:pt>
                <c:pt idx="3">
                  <c:v>Entry price ±$1.00</c:v>
                </c:pt>
                <c:pt idx="4">
                  <c:v>SBC as cash 50% / 100%</c:v>
                </c:pt>
                <c:pt idx="5">
                  <c:v>SOFR ±100bps</c:v>
                </c:pt>
                <c:pt idx="6">
                  <c:v>Merger costs $100m / $150m</c:v>
                </c:pt>
                <c:pt idx="7">
                  <c:v>Minimum cash $50m / $150m</c:v>
                </c:pt>
                <c:pt idx="8">
                  <c:v>NWC ±0.7pp</c:v>
                </c:pt>
                <c:pt idx="9">
                  <c:v>Capex (0.5pp) / +0.9pp</c:v>
                </c:pt>
                <c:pt idx="10">
                  <c:v>PIK off / on</c:v>
                </c:pt>
              </c:strCache>
            </c:strRef>
          </c:cat>
          <c:val>
            <c:numRef>
              <c:f>Sensitivities!$J$73:$J$83</c:f>
              <c:numCache>
                <c:formatCode>+0.0%;(0.0%);0.0%</c:formatCode>
                <c:ptCount val="11"/>
                <c:pt idx="0">
                  <c:v>0.035105562210082986</c:v>
                </c:pt>
                <c:pt idx="1">
                  <c:v>0.024156355857849116</c:v>
                </c:pt>
                <c:pt idx="2">
                  <c:v>0.01821967363357549</c:v>
                </c:pt>
                <c:pt idx="3">
                  <c:v>-0.013828885555267317</c:v>
                </c:pt>
                <c:pt idx="4">
                  <c:v>0</c:v>
                </c:pt>
                <c:pt idx="5">
                  <c:v>-0.002818214893341081</c:v>
                </c:pt>
                <c:pt idx="6">
                  <c:v>-0.001203811168670632</c:v>
                </c:pt>
                <c:pt idx="7">
                  <c:v>-0.0017266631126403587</c:v>
                </c:pt>
                <c:pt idx="8">
                  <c:v>-0.0009046196937560758</c:v>
                </c:pt>
                <c:pt idx="9">
                  <c:v>-0.00110659599304197</c:v>
                </c:pt>
                <c:pt idx="10">
                  <c:v>0</c:v>
                </c:pt>
              </c:numCache>
            </c:numRef>
          </c:val>
        </c:ser>
        <c:gapWidth val="40"/>
        <c:overlap val="100"/>
        <c:axId val="111111111"/>
        <c:axId val="222222222"/>
      </c:barChart>
      <c:catAx>
        <c:axId val="111111111"/>
        <c:scaling>
          <c:orientation val="maxMin"/>
        </c:scaling>
        <c:delete val="0"/>
        <c:axPos val="b"/>
        <c:tickLblPos val="low"/>
        <c:txPr>
          <a:bodyPr/>
          <a:lstStyle/>
          <a:p>
            <a:pPr>
              <a:defRPr sz="800">
                <a:latin typeface="Arial"/>
              </a:defRPr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</c:scaling>
        <c:delete val="0"/>
        <c:axPos val="l"/>
        <c:numFmt formatCode="+0%;(0%);0%" sourceLinked="0"/>
        <c:txPr>
          <a:bodyPr/>
          <a:lstStyle/>
          <a:p>
            <a:pPr>
              <a:defRPr sz="800"/>
            </a:pPr>
            <a:endParaRPr lang="en-US"/>
          </a:p>
        </c:txPr>
        <c:crossAx val="111111111"/>
        <c:crosses val="autoZero"/>
      </c:valAx>
    </c:plotArea>
    <c:legend>
      <c:legendPos val="b"/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0"/>
    <c:dispBlanksAs val="gap"/>
  </c:char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5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 1">
          <a:extLst>
            <a:ext uri="{FF2B5EF4-FFF2-40B4-BE49-F238E27FC236}">
              <a16:creationId xmlns:a16="http://schemas.microsoft.com/office/drawing/2014/main" id="{00000000-874F-4C1D-8CA1-000000000001}"/>
            </a:ext>
          </a:extLst>
        </xdr:cNvPr>
        <xdr:cNvGraphicFramePr/>
      </xdr:nvGraphicFramePr>
      <xdr:xfrm>
        <a:off x="0" y="0"/>
        <a:ext cx="6019800" cy="2857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commentsDrawing7.v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commentsDrawing8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comments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23"/>
  <sheetViews>
    <sheetView showGridLines="0" workbookViewId="0">
      <selection activeCell="A1" sqref="A1"/>
    </sheetView>
  </sheetViews>
  <sheetFormatPr defaultColWidth="8.73046875" defaultRowHeight="11.65"/>
  <cols>
    <col min="1" max="2" width="2.06640625" customWidth="1" style="247"/>
    <col min="3" max="3" width="68.50390625" customWidth="1" bestFit="1" style="247"/>
    <col min="4" max="11" width="8.73046875" customWidth="0" style="247"/>
    <col min="12" max="12" width="8.73046875" customWidth="1" style="247"/>
    <col min="13" max="13" width="2.06640625" customWidth="1" style="247"/>
    <col min="14" max="111" width="8.73046875" customWidth="0" style="247"/>
  </cols>
  <sheetData>
    <row r="1" ht="5" customHeight="1"/>
    <row r="2" ht="5" customHeight="1"/>
    <row r="3">
      <c r="C3" t="s" s="244">
        <v>1941</v>
      </c>
      <c r="D3" s="245">
        <v>4</v>
      </c>
    </row>
    <row r="4">
      <c r="C4" t="s" s="244">
        <v>1343</v>
      </c>
      <c r="D4" t="str" s="246">
        <f>CHOOSE(D5,"Downside","Management","Upside","Outside-in")</f>
        <v>Outside-in</v>
      </c>
    </row>
    <row r="5">
      <c r="C5" t="s" s="265">
        <v>2180</v>
      </c>
      <c r="D5" s="549">
        <f>IF(Sensitivities!$E$20&gt;0,Sensitivities!$E$20,$D$3)</f>
        <v>4</v>
      </c>
    </row>
    <row r="6">
      <c r="A6" t="s" s="247">
        <v>1344</v>
      </c>
      <c r="C6" t="s" s="248">
        <v>1345</v>
      </c>
      <c r="D6" s="249"/>
      <c r="E6" t="s" s="679">
        <v>2181</v>
      </c>
      <c r="F6" s="415">
        <f>Model!J54</f>
        <v>46387</v>
      </c>
      <c r="G6" s="250">
        <f>EOMONTH(F6,12)</f>
        <v>46752</v>
      </c>
      <c r="H6" s="250">
        <f>EOMONTH(G6,12)</f>
        <v>47118</v>
      </c>
      <c r="I6" s="250">
        <f>EOMONTH(H6,12)</f>
        <v>47483</v>
      </c>
      <c r="J6" s="250">
        <f>EOMONTH(I6,12)</f>
        <v>47848</v>
      </c>
      <c r="K6" s="250">
        <f>EOMONTH(J6,12)</f>
        <v>48213</v>
      </c>
    </row>
    <row r="8">
      <c r="C8" t="s" s="251">
        <v>1346</v>
      </c>
      <c r="D8" s="252"/>
      <c r="E8" s="252"/>
      <c r="F8" s="329">
        <f>CHOOSE($D$5,F9,F10,F11,F12)</f>
        <v>0.2804032934420566</v>
      </c>
      <c r="G8" s="329">
        <f>CHOOSE($D$5,G9,G10,G11,G12)</f>
        <v>0.13619371474853903</v>
      </c>
      <c r="H8" s="329">
        <f>CHOOSE($D$5,H9,H10,H11,H12)</f>
        <v>0.12619371474853902</v>
      </c>
      <c r="I8" s="329">
        <f>CHOOSE($D$5,I9,I10,I11,I12)</f>
        <v>0.11619371474853901</v>
      </c>
      <c r="J8" s="329">
        <f>CHOOSE($D$5,J9,J10,J11,J12)</f>
        <v>0.106193714748539</v>
      </c>
      <c r="K8" s="329">
        <f>CHOOSE($D$5,K9,K10,K11,K12)</f>
        <v>0.10000000000000009</v>
      </c>
    </row>
    <row r="9" s="255" customFormat="1">
      <c r="C9" t="s" s="253">
        <v>1347</v>
      </c>
      <c r="E9" s="598">
        <v>-3</v>
      </c>
      <c r="F9" s="678">
        <f>F12+$E9/100</f>
        <v>0.2504032934420566</v>
      </c>
      <c r="G9" s="678">
        <f>G12+$E9/100</f>
        <v>0.10619371474853903</v>
      </c>
      <c r="H9" s="678">
        <f>H12+$E9/100</f>
        <v>0.09619371474853902</v>
      </c>
      <c r="I9" s="678">
        <f>I12+$E9/100</f>
        <v>0.08619371474853901</v>
      </c>
      <c r="J9" s="678">
        <f>J12+$E9/100</f>
        <v>0.076193714748539</v>
      </c>
      <c r="K9" s="678">
        <f>K12+$E9/100</f>
        <v>0.07000000000000009</v>
      </c>
    </row>
    <row r="10">
      <c r="C10" t="s" s="253">
        <v>1939</v>
      </c>
      <c r="F10" s="333">
        <f>F52</f>
        <v>0.28767123287671237</v>
      </c>
      <c r="G10" s="333">
        <f>G52</f>
        <v>0.17021276595744683</v>
      </c>
      <c r="H10" s="333">
        <f>H52</f>
        <v>0.17999999999999994</v>
      </c>
      <c r="I10" s="333">
        <f>I52</f>
        <v>0.17950693374422189</v>
      </c>
      <c r="J10" s="333">
        <f>J52</f>
        <v>0.18027433050293928</v>
      </c>
      <c r="K10" s="330">
        <v>0.16</v>
      </c>
    </row>
    <row r="11">
      <c r="C11" t="s" s="253">
        <v>1349</v>
      </c>
      <c r="E11" s="598">
        <v>3</v>
      </c>
      <c r="F11" s="678">
        <f>F12+$E11/100</f>
        <v>0.31040329344205664</v>
      </c>
      <c r="G11" s="678">
        <f>G12+$E11/100</f>
        <v>0.16619371474853903</v>
      </c>
      <c r="H11" s="678">
        <f>H12+$E11/100</f>
        <v>0.15619371474853902</v>
      </c>
      <c r="I11" s="678">
        <f>I12+$E11/100</f>
        <v>0.146193714748539</v>
      </c>
      <c r="J11" s="678">
        <f>J12+$E11/100</f>
        <v>0.136193714748539</v>
      </c>
      <c r="K11" s="678">
        <f>K12+$E11/100</f>
        <v>0.1300000000000001</v>
      </c>
    </row>
    <row r="12">
      <c r="C12" t="s" s="253">
        <v>1940</v>
      </c>
      <c r="F12" s="515">
        <f>F88</f>
        <v>0.2804032934420566</v>
      </c>
      <c r="G12" s="515">
        <f>G88</f>
        <v>0.13619371474853903</v>
      </c>
      <c r="H12" s="515">
        <f>H88</f>
        <v>0.12619371474853902</v>
      </c>
      <c r="I12" s="515">
        <f>I88</f>
        <v>0.11619371474853901</v>
      </c>
      <c r="J12" s="515">
        <f>J88</f>
        <v>0.106193714748539</v>
      </c>
      <c r="K12" s="515">
        <f>K88</f>
        <v>0.10000000000000009</v>
      </c>
    </row>
    <row r="14">
      <c r="C14" t="s" s="251">
        <v>1777</v>
      </c>
      <c r="D14" s="252"/>
      <c r="E14" s="252"/>
      <c r="F14" s="329">
        <f>CHOOSE($D$5,F15,F16,F17,F18)</f>
        <v>0.3574343837674717</v>
      </c>
      <c r="G14" s="329">
        <f>CHOOSE($D$5,G15,G16,G17,G18)</f>
        <v>0.3716922119342168</v>
      </c>
      <c r="H14" s="329">
        <f>CHOOSE($D$5,H15,H16,H17,H18)</f>
        <v>0.37806455168213143</v>
      </c>
      <c r="I14" s="329">
        <f>CHOOSE($D$5,I15,I16,I17,I18)</f>
        <v>0.38443689143004606</v>
      </c>
      <c r="J14" s="329">
        <f>CHOOSE($D$5,J15,J16,J17,J18)</f>
        <v>0.38762306130400337</v>
      </c>
      <c r="K14" s="329">
        <f>CHOOSE($D$5,K15,K16,K17,K18)</f>
        <v>0.3908092311779607</v>
      </c>
    </row>
    <row r="15">
      <c r="C15" t="s" s="253">
        <v>1347</v>
      </c>
      <c r="E15" s="598">
        <v>-1.5</v>
      </c>
      <c r="F15" s="678">
        <f>F18+$E15/100</f>
        <v>0.3424343837674717</v>
      </c>
      <c r="G15" s="678">
        <f>G18+$E15/100</f>
        <v>0.3566922119342168</v>
      </c>
      <c r="H15" s="678">
        <f>H18+$E15/100</f>
        <v>0.3630645516821314</v>
      </c>
      <c r="I15" s="678">
        <f>I18+$E15/100</f>
        <v>0.36943689143004604</v>
      </c>
      <c r="J15" s="678">
        <f>J18+$E15/100</f>
        <v>0.37262306130400336</v>
      </c>
      <c r="K15" s="678">
        <f>K18+$E15/100</f>
        <v>0.37580923117796067</v>
      </c>
    </row>
    <row r="16">
      <c r="C16" t="s" s="253">
        <v>1939</v>
      </c>
      <c r="F16" s="333">
        <f>F54</f>
        <v>0.3595744680851064</v>
      </c>
      <c r="G16" s="333">
        <f>G54</f>
        <v>0.38</v>
      </c>
      <c r="H16" s="333">
        <f>H54</f>
        <v>0.39907550077041604</v>
      </c>
      <c r="I16" s="333">
        <f>I54</f>
        <v>0.41410842586544744</v>
      </c>
      <c r="J16" s="333">
        <f>J54</f>
        <v>0.4222468179302712</v>
      </c>
      <c r="K16" s="330">
        <v>0.427</v>
      </c>
    </row>
    <row r="17">
      <c r="C17" t="s" s="253">
        <v>1349</v>
      </c>
      <c r="E17" s="598">
        <v>1.5</v>
      </c>
      <c r="F17" s="678">
        <f>F18+$E17/100</f>
        <v>0.37243438376747173</v>
      </c>
      <c r="G17" s="678">
        <f>G18+$E17/100</f>
        <v>0.3866922119342168</v>
      </c>
      <c r="H17" s="678">
        <f>H18+$E17/100</f>
        <v>0.39306455168213145</v>
      </c>
      <c r="I17" s="678">
        <f>I18+$E17/100</f>
        <v>0.39943689143004607</v>
      </c>
      <c r="J17" s="678">
        <f>J18+$E17/100</f>
        <v>0.4026230613040034</v>
      </c>
      <c r="K17" s="678">
        <f>K18+$E17/100</f>
        <v>0.4058092311779607</v>
      </c>
    </row>
    <row r="18">
      <c r="C18" t="s" s="253">
        <v>1940</v>
      </c>
      <c r="F18" s="515">
        <f>F98</f>
        <v>0.3574343837674717</v>
      </c>
      <c r="G18" s="515">
        <f>G98</f>
        <v>0.3716922119342168</v>
      </c>
      <c r="H18" s="515">
        <f>H98</f>
        <v>0.37806455168213143</v>
      </c>
      <c r="I18" s="515">
        <f>I98</f>
        <v>0.38443689143004606</v>
      </c>
      <c r="J18" s="515">
        <f>J98</f>
        <v>0.38762306130400337</v>
      </c>
      <c r="K18" s="515">
        <f>K98</f>
        <v>0.3908092311779607</v>
      </c>
    </row>
    <row r="20">
      <c r="C20" t="s" s="251">
        <v>1778</v>
      </c>
      <c r="D20" s="252"/>
      <c r="E20" s="252"/>
      <c r="F20" s="331">
        <f>CHOOSE($D$5,F21,F22,F23,F24)</f>
        <v>127.896</v>
      </c>
      <c r="G20" s="331">
        <f>CHOOSE($D$5,G21,G22,G23,G24)</f>
        <v>127.896</v>
      </c>
      <c r="H20" s="331">
        <f>CHOOSE($D$5,H21,H22,H23,H24)</f>
        <v>135.96583567073958</v>
      </c>
      <c r="I20" s="331">
        <f>CHOOSE($D$5,I21,I22,I23,I24)</f>
        <v>143.8650234334759</v>
      </c>
      <c r="J20" s="331">
        <f>CHOOSE($D$5,J21,J22,J23,J24)</f>
        <v>151.50380406386913</v>
      </c>
      <c r="K20" s="331">
        <f>CHOOSE($D$5,K21,K22,K23,K24)</f>
        <v>159.0789942670626</v>
      </c>
    </row>
    <row r="21">
      <c r="C21" t="s" s="253">
        <v>1347</v>
      </c>
      <c r="F21" s="334">
        <f>F24</f>
        <v>127.896</v>
      </c>
      <c r="G21" s="334">
        <f>G24</f>
        <v>127.896</v>
      </c>
      <c r="H21" s="334">
        <f>H24</f>
        <v>135.96583567073958</v>
      </c>
      <c r="I21" s="334">
        <f>I24</f>
        <v>143.8650234334759</v>
      </c>
      <c r="J21" s="334">
        <f>J24</f>
        <v>151.50380406386913</v>
      </c>
      <c r="K21" s="334">
        <f>K24</f>
        <v>159.0789942670626</v>
      </c>
    </row>
    <row r="22">
      <c r="C22" t="s" s="253">
        <v>1939</v>
      </c>
      <c r="F22" s="334">
        <f>F55</f>
        <v>127</v>
      </c>
      <c r="G22" s="334">
        <f>G55</f>
        <v>127</v>
      </c>
      <c r="H22" s="334">
        <f>H55</f>
        <v>127</v>
      </c>
      <c r="I22" s="334">
        <f>I55</f>
        <v>127</v>
      </c>
      <c r="J22" s="334">
        <f>J55</f>
        <v>127</v>
      </c>
      <c r="K22" s="334">
        <f>J22</f>
        <v>127</v>
      </c>
    </row>
    <row r="23">
      <c r="C23" t="s" s="253">
        <v>1349</v>
      </c>
      <c r="F23" s="334">
        <f>F24</f>
        <v>127.896</v>
      </c>
      <c r="G23" s="334">
        <f>G24</f>
        <v>127.896</v>
      </c>
      <c r="H23" s="334">
        <f>H24</f>
        <v>135.96583567073958</v>
      </c>
      <c r="I23" s="334">
        <f>I24</f>
        <v>143.8650234334759</v>
      </c>
      <c r="J23" s="334">
        <f>J24</f>
        <v>151.50380406386913</v>
      </c>
      <c r="K23" s="334">
        <f>K24</f>
        <v>159.0789942670626</v>
      </c>
    </row>
    <row r="24">
      <c r="C24" t="s" s="253">
        <v>1940</v>
      </c>
      <c r="F24" s="516">
        <f>F105</f>
        <v>127.896</v>
      </c>
      <c r="G24" s="516">
        <f>G105</f>
        <v>127.896</v>
      </c>
      <c r="H24" s="516">
        <f>H105</f>
        <v>135.96583567073958</v>
      </c>
      <c r="I24" s="516">
        <f>I105</f>
        <v>143.8650234334759</v>
      </c>
      <c r="J24" s="516">
        <f>J105</f>
        <v>151.50380406386913</v>
      </c>
      <c r="K24" s="516">
        <f>K105</f>
        <v>159.0789942670626</v>
      </c>
    </row>
    <row r="26">
      <c r="C26" t="s" s="251">
        <v>1779</v>
      </c>
      <c r="D26" s="252"/>
      <c r="E26" s="252"/>
      <c r="F26" s="329">
        <f>CHOOSE($D$5,F27,F28,F29,F30)</f>
        <v>0.01671739952828644</v>
      </c>
      <c r="G26" s="329">
        <f>CHOOSE($D$5,G27,G28,G29,G30)</f>
        <v>0.01671739952828644</v>
      </c>
      <c r="H26" s="329">
        <f>CHOOSE($D$5,H27,H28,H29,H30)</f>
        <v>0.01671739952828644</v>
      </c>
      <c r="I26" s="329">
        <f>CHOOSE($D$5,I27,I28,I29,I30)</f>
        <v>0.01671739952828644</v>
      </c>
      <c r="J26" s="329">
        <f>CHOOSE($D$5,J27,J28,J29,J30)</f>
        <v>0.01671739952828644</v>
      </c>
      <c r="K26" s="329">
        <f>CHOOSE($D$5,K27,K28,K29,K30)</f>
        <v>0.01671739952828644</v>
      </c>
    </row>
    <row r="27">
      <c r="C27" t="s" s="253">
        <v>1347</v>
      </c>
      <c r="F27" s="333">
        <f>F30</f>
        <v>0.01671739952828644</v>
      </c>
      <c r="G27" s="333">
        <f>G30</f>
        <v>0.01671739952828644</v>
      </c>
      <c r="H27" s="333">
        <f>H30</f>
        <v>0.01671739952828644</v>
      </c>
      <c r="I27" s="333">
        <f>I30</f>
        <v>0.01671739952828644</v>
      </c>
      <c r="J27" s="333">
        <f>J30</f>
        <v>0.01671739952828644</v>
      </c>
      <c r="K27" s="333">
        <f>K30</f>
        <v>0.01671739952828644</v>
      </c>
    </row>
    <row r="28">
      <c r="C28" t="s" s="253">
        <v>1939</v>
      </c>
      <c r="F28" s="333">
        <f>F56</f>
        <v>0.022</v>
      </c>
      <c r="G28" s="333">
        <f>G56</f>
        <v>0.015</v>
      </c>
      <c r="H28" s="333">
        <f>H56</f>
        <v>0.015</v>
      </c>
      <c r="I28" s="333">
        <f>I56</f>
        <v>0.015</v>
      </c>
      <c r="J28" s="333">
        <f>J56</f>
        <v>0.015</v>
      </c>
      <c r="K28" s="333">
        <f>J28</f>
        <v>0.015</v>
      </c>
    </row>
    <row r="29">
      <c r="C29" t="s" s="253">
        <v>1349</v>
      </c>
      <c r="F29" s="333">
        <f>F30</f>
        <v>0.01671739952828644</v>
      </c>
      <c r="G29" s="333">
        <f>G30</f>
        <v>0.01671739952828644</v>
      </c>
      <c r="H29" s="333">
        <f>H30</f>
        <v>0.01671739952828644</v>
      </c>
      <c r="I29" s="333">
        <f>I30</f>
        <v>0.01671739952828644</v>
      </c>
      <c r="J29" s="333">
        <f>J30</f>
        <v>0.01671739952828644</v>
      </c>
      <c r="K29" s="333">
        <f>K30</f>
        <v>0.01671739952828644</v>
      </c>
    </row>
    <row r="30">
      <c r="C30" t="s" s="253">
        <v>1940</v>
      </c>
      <c r="F30" s="515">
        <f>$E$107</f>
        <v>0.01671739952828644</v>
      </c>
      <c r="G30" s="515">
        <f>$E$107</f>
        <v>0.01671739952828644</v>
      </c>
      <c r="H30" s="515">
        <f>$E$107</f>
        <v>0.01671739952828644</v>
      </c>
      <c r="I30" s="515">
        <f>$E$107</f>
        <v>0.01671739952828644</v>
      </c>
      <c r="J30" s="515">
        <f>$E$107</f>
        <v>0.01671739952828644</v>
      </c>
      <c r="K30" s="515">
        <f>$E$107</f>
        <v>0.01671739952828644</v>
      </c>
    </row>
    <row r="31" ht="7.15" customHeight="1"/>
    <row r="32">
      <c r="C32" t="s" s="251">
        <v>1780</v>
      </c>
      <c r="D32" s="252"/>
      <c r="E32" s="252"/>
      <c r="F32" s="329">
        <f>CHOOSE($D$5,F33,F34,F35,F36)</f>
        <v>0.9767441860465114</v>
      </c>
      <c r="G32" s="329">
        <f>CHOOSE($D$5,G33,G34,G35,G36)</f>
        <v>0.9767441860465114</v>
      </c>
      <c r="H32" s="329">
        <f>CHOOSE($D$5,H33,H34,H35,H36)</f>
        <v>0.9767441860465114</v>
      </c>
      <c r="I32" s="329">
        <f>CHOOSE($D$5,I33,I34,I35,I36)</f>
        <v>0.9767441860465114</v>
      </c>
      <c r="J32" s="329">
        <f>CHOOSE($D$5,J33,J34,J35,J36)</f>
        <v>0.9767441860465114</v>
      </c>
      <c r="K32" s="329">
        <f>CHOOSE($D$5,K33,K34,K35,K36)</f>
        <v>0.9767441860465114</v>
      </c>
    </row>
    <row r="33">
      <c r="C33" t="s" s="253">
        <v>1347</v>
      </c>
      <c r="F33" s="333">
        <f>F36</f>
        <v>0.9767441860465114</v>
      </c>
      <c r="G33" s="333">
        <f>G36</f>
        <v>0.9767441860465114</v>
      </c>
      <c r="H33" s="333">
        <f>H36</f>
        <v>0.9767441860465114</v>
      </c>
      <c r="I33" s="333">
        <f>I36</f>
        <v>0.9767441860465114</v>
      </c>
      <c r="J33" s="333">
        <f>J36</f>
        <v>0.9767441860465114</v>
      </c>
      <c r="K33" s="333">
        <f>K36</f>
        <v>0.9767441860465114</v>
      </c>
    </row>
    <row r="34">
      <c r="C34" t="s" s="253">
        <v>1939</v>
      </c>
      <c r="F34" s="333">
        <f>F57</f>
        <v>0.646</v>
      </c>
      <c r="G34" s="333">
        <f>G57</f>
        <v>0.682</v>
      </c>
      <c r="H34" s="333">
        <f>H57</f>
        <v>0.718</v>
      </c>
      <c r="I34" s="333">
        <f>I57</f>
        <v>0.754</v>
      </c>
      <c r="J34" s="333">
        <f>J57</f>
        <v>0.79</v>
      </c>
      <c r="K34" s="333">
        <f>J34</f>
        <v>0.79</v>
      </c>
    </row>
    <row r="35">
      <c r="C35" t="s" s="253">
        <v>1349</v>
      </c>
      <c r="F35" s="333">
        <f>F36</f>
        <v>0.9767441860465114</v>
      </c>
      <c r="G35" s="333">
        <f>G36</f>
        <v>0.9767441860465114</v>
      </c>
      <c r="H35" s="333">
        <f>H36</f>
        <v>0.9767441860465114</v>
      </c>
      <c r="I35" s="333">
        <f>I36</f>
        <v>0.9767441860465114</v>
      </c>
      <c r="J35" s="333">
        <f>J36</f>
        <v>0.9767441860465114</v>
      </c>
      <c r="K35" s="333">
        <f>K36</f>
        <v>0.9767441860465114</v>
      </c>
    </row>
    <row r="36">
      <c r="C36" t="s" s="253">
        <v>1940</v>
      </c>
      <c r="F36" s="515">
        <f>$E$110</f>
        <v>0.9767441860465114</v>
      </c>
      <c r="G36" s="515">
        <f>$E$110</f>
        <v>0.9767441860465114</v>
      </c>
      <c r="H36" s="515">
        <f>$E$110</f>
        <v>0.9767441860465114</v>
      </c>
      <c r="I36" s="515">
        <f>$E$110</f>
        <v>0.9767441860465114</v>
      </c>
      <c r="J36" s="515">
        <f>$E$110</f>
        <v>0.9767441860465114</v>
      </c>
      <c r="K36" s="515">
        <f>$E$110</f>
        <v>0.9767441860465114</v>
      </c>
    </row>
    <row r="38">
      <c r="C38" t="s" s="251">
        <v>1781</v>
      </c>
      <c r="D38" s="252"/>
      <c r="E38" s="252"/>
      <c r="F38" s="329">
        <f>CHOOSE($D$5,F39,F40,F41,F42)</f>
        <v>0.027201017959324163</v>
      </c>
      <c r="G38" s="329">
        <f>CHOOSE($D$5,G39,G40,G41,G42)</f>
        <v>0.027201017959324163</v>
      </c>
      <c r="H38" s="329">
        <f>CHOOSE($D$5,H39,H40,H41,H42)</f>
        <v>0.027201017959324163</v>
      </c>
      <c r="I38" s="329">
        <f>CHOOSE($D$5,I39,I40,I41,I42)</f>
        <v>0.027201017959324163</v>
      </c>
      <c r="J38" s="329">
        <f>CHOOSE($D$5,J39,J40,J41,J42)</f>
        <v>0.027201017959324163</v>
      </c>
      <c r="K38" s="329">
        <f>CHOOSE($D$5,K39,K40,K41,K42)</f>
        <v>0.027201017959324163</v>
      </c>
    </row>
    <row r="39">
      <c r="C39" t="s" s="253">
        <v>1347</v>
      </c>
      <c r="F39" s="333">
        <f>F42</f>
        <v>0.027201017959324163</v>
      </c>
      <c r="G39" s="333">
        <f>G42</f>
        <v>0.027201017959324163</v>
      </c>
      <c r="H39" s="333">
        <f>H42</f>
        <v>0.027201017959324163</v>
      </c>
      <c r="I39" s="333">
        <f>I42</f>
        <v>0.027201017959324163</v>
      </c>
      <c r="J39" s="333">
        <f>J42</f>
        <v>0.027201017959324163</v>
      </c>
      <c r="K39" s="333">
        <f>K42</f>
        <v>0.027201017959324163</v>
      </c>
    </row>
    <row r="40">
      <c r="C40" t="s" s="253">
        <v>1939</v>
      </c>
      <c r="F40" s="333">
        <f>F58</f>
        <v>0.02</v>
      </c>
      <c r="G40" s="333">
        <f>G58</f>
        <v>0.02</v>
      </c>
      <c r="H40" s="333">
        <f>H58</f>
        <v>0.02</v>
      </c>
      <c r="I40" s="333">
        <f>I58</f>
        <v>0.02</v>
      </c>
      <c r="J40" s="333">
        <f>J58</f>
        <v>0.02</v>
      </c>
      <c r="K40" s="333">
        <f>J40</f>
        <v>0.02</v>
      </c>
    </row>
    <row r="41">
      <c r="C41" t="s" s="253">
        <v>1349</v>
      </c>
      <c r="F41" s="333">
        <f>F42</f>
        <v>0.027201017959324163</v>
      </c>
      <c r="G41" s="333">
        <f>G42</f>
        <v>0.027201017959324163</v>
      </c>
      <c r="H41" s="333">
        <f>H42</f>
        <v>0.027201017959324163</v>
      </c>
      <c r="I41" s="333">
        <f>I42</f>
        <v>0.027201017959324163</v>
      </c>
      <c r="J41" s="333">
        <f>J42</f>
        <v>0.027201017959324163</v>
      </c>
      <c r="K41" s="333">
        <f>K42</f>
        <v>0.027201017959324163</v>
      </c>
    </row>
    <row r="42">
      <c r="C42" t="s" s="253">
        <v>1940</v>
      </c>
      <c r="F42" s="515">
        <f>$E$111</f>
        <v>0.027201017959324163</v>
      </c>
      <c r="G42" s="515">
        <f>$E$111</f>
        <v>0.027201017959324163</v>
      </c>
      <c r="H42" s="515">
        <f>$E$111</f>
        <v>0.027201017959324163</v>
      </c>
      <c r="I42" s="515">
        <f>$E$111</f>
        <v>0.027201017959324163</v>
      </c>
      <c r="J42" s="515">
        <f>$E$111</f>
        <v>0.027201017959324163</v>
      </c>
      <c r="K42" s="515">
        <f>$E$111</f>
        <v>0.027201017959324163</v>
      </c>
    </row>
    <row r="44">
      <c r="C44" t="s" s="251">
        <v>1782</v>
      </c>
      <c r="D44" s="252"/>
      <c r="E44" s="252"/>
      <c r="F44" s="329">
        <f>CHOOSE($D$5,F45,F46,F47,F48)</f>
        <v>0.013868664424732441</v>
      </c>
      <c r="G44" s="329">
        <f>CHOOSE($D$5,G45,G46,G47,G48)</f>
        <v>0.013868664424732441</v>
      </c>
      <c r="H44" s="329">
        <f>CHOOSE($D$5,H45,H46,H47,H48)</f>
        <v>0.013868664424732441</v>
      </c>
      <c r="I44" s="329">
        <f>CHOOSE($D$5,I45,I46,I47,I48)</f>
        <v>0.013868664424732441</v>
      </c>
      <c r="J44" s="329">
        <f>CHOOSE($D$5,J45,J46,J47,J48)</f>
        <v>0.013868664424732441</v>
      </c>
      <c r="K44" s="329">
        <f>CHOOSE($D$5,K45,K46,K47,K48)</f>
        <v>0.013868664424732441</v>
      </c>
    </row>
    <row r="45">
      <c r="C45" t="s" s="253">
        <v>1347</v>
      </c>
      <c r="F45" s="333">
        <f>F48</f>
        <v>0.013868664424732441</v>
      </c>
      <c r="G45" s="333">
        <f>G48</f>
        <v>0.013868664424732441</v>
      </c>
      <c r="H45" s="333">
        <f>H48</f>
        <v>0.013868664424732441</v>
      </c>
      <c r="I45" s="333">
        <f>I48</f>
        <v>0.013868664424732441</v>
      </c>
      <c r="J45" s="333">
        <f>J48</f>
        <v>0.013868664424732441</v>
      </c>
      <c r="K45" s="333">
        <f>K48</f>
        <v>0.013868664424732441</v>
      </c>
    </row>
    <row r="46">
      <c r="C46" t="s" s="253">
        <v>1939</v>
      </c>
      <c r="F46" s="330">
        <v>0.015</v>
      </c>
      <c r="G46" s="330">
        <v>0.015</v>
      </c>
      <c r="H46" s="330">
        <v>0.015</v>
      </c>
      <c r="I46" s="330">
        <v>0.015</v>
      </c>
      <c r="J46" s="330">
        <v>0.015</v>
      </c>
      <c r="K46" s="330">
        <v>0.015</v>
      </c>
    </row>
    <row r="47">
      <c r="C47" t="s" s="253">
        <v>1349</v>
      </c>
      <c r="F47" s="333">
        <f>F48</f>
        <v>0.013868664424732441</v>
      </c>
      <c r="G47" s="333">
        <f>G48</f>
        <v>0.013868664424732441</v>
      </c>
      <c r="H47" s="333">
        <f>H48</f>
        <v>0.013868664424732441</v>
      </c>
      <c r="I47" s="333">
        <f>I48</f>
        <v>0.013868664424732441</v>
      </c>
      <c r="J47" s="333">
        <f>J48</f>
        <v>0.013868664424732441</v>
      </c>
      <c r="K47" s="333">
        <f>K48</f>
        <v>0.013868664424732441</v>
      </c>
    </row>
    <row r="48">
      <c r="C48" t="s" s="253">
        <v>1940</v>
      </c>
      <c r="F48" s="515">
        <f>$E$112</f>
        <v>0.013868664424732441</v>
      </c>
      <c r="G48" s="515">
        <f>$E$112</f>
        <v>0.013868664424732441</v>
      </c>
      <c r="H48" s="515">
        <f>$E$112</f>
        <v>0.013868664424732441</v>
      </c>
      <c r="I48" s="515">
        <f>$E$112</f>
        <v>0.013868664424732441</v>
      </c>
      <c r="J48" s="515">
        <f>$E$112</f>
        <v>0.013868664424732441</v>
      </c>
      <c r="K48" s="515">
        <f>$E$112</f>
        <v>0.013868664424732441</v>
      </c>
    </row>
    <row r="50">
      <c r="A50" t="s" s="247">
        <v>1344</v>
      </c>
      <c r="C50" t="s" s="248">
        <v>1893</v>
      </c>
      <c r="D50" s="249"/>
      <c r="E50" s="250">
        <f>EOMONTH(F6,-12)</f>
        <v>46022</v>
      </c>
      <c r="F50" s="250">
        <f>F6</f>
        <v>46387</v>
      </c>
      <c r="G50" s="250">
        <f>G6</f>
        <v>46752</v>
      </c>
      <c r="H50" s="250">
        <f>H6</f>
        <v>47118</v>
      </c>
      <c r="I50" s="250">
        <f>I6</f>
        <v>47483</v>
      </c>
      <c r="J50" s="250">
        <f>J6</f>
        <v>47848</v>
      </c>
    </row>
    <row r="51">
      <c r="C51" t="s" s="253">
        <v>303</v>
      </c>
      <c r="E51" s="332">
        <v>730</v>
      </c>
      <c r="F51" s="332">
        <v>940</v>
      </c>
      <c r="G51" s="332">
        <v>1100</v>
      </c>
      <c r="H51" s="332">
        <v>1298</v>
      </c>
      <c r="I51" s="332">
        <v>1531</v>
      </c>
      <c r="J51" s="332">
        <v>1807</v>
      </c>
    </row>
    <row r="52">
      <c r="C52" t="s" s="253">
        <v>1398</v>
      </c>
      <c r="E52" s="330"/>
      <c r="F52" s="333">
        <f>F51/E51-1</f>
        <v>0.28767123287671237</v>
      </c>
      <c r="G52" s="333">
        <f>G51/F51-1</f>
        <v>0.17021276595744683</v>
      </c>
      <c r="H52" s="333">
        <f>H51/G51-1</f>
        <v>0.17999999999999994</v>
      </c>
      <c r="I52" s="333">
        <f>I51/H51-1</f>
        <v>0.17950693374422189</v>
      </c>
      <c r="J52" s="333">
        <f>J51/I51-1</f>
        <v>0.18027433050293928</v>
      </c>
    </row>
    <row r="53">
      <c r="C53" t="s" s="253">
        <v>1784</v>
      </c>
      <c r="E53" s="332">
        <v>248</v>
      </c>
      <c r="F53" s="332">
        <v>338</v>
      </c>
      <c r="G53" s="332">
        <v>418</v>
      </c>
      <c r="H53" s="332">
        <v>518</v>
      </c>
      <c r="I53" s="332">
        <v>634</v>
      </c>
      <c r="J53" s="332">
        <v>763</v>
      </c>
    </row>
    <row r="54">
      <c r="C54" t="s" s="253">
        <v>1402</v>
      </c>
      <c r="E54" s="333">
        <f>E53/E51</f>
        <v>0.33972602739726027</v>
      </c>
      <c r="F54" s="333">
        <f>F53/F51</f>
        <v>0.3595744680851064</v>
      </c>
      <c r="G54" s="333">
        <f>G53/G51</f>
        <v>0.38</v>
      </c>
      <c r="H54" s="333">
        <f>H53/H51</f>
        <v>0.39907550077041604</v>
      </c>
      <c r="I54" s="333">
        <f>I53/I51</f>
        <v>0.41410842586544744</v>
      </c>
      <c r="J54" s="333">
        <f>J53/J51</f>
        <v>0.4222468179302712</v>
      </c>
    </row>
    <row r="55">
      <c r="C55" t="s" s="253">
        <v>743</v>
      </c>
      <c r="E55" s="332">
        <v>127</v>
      </c>
      <c r="F55" s="332">
        <v>127</v>
      </c>
      <c r="G55" s="332">
        <v>127</v>
      </c>
      <c r="H55" s="332">
        <v>127</v>
      </c>
      <c r="I55" s="332">
        <v>127</v>
      </c>
      <c r="J55" s="332">
        <v>127</v>
      </c>
    </row>
    <row r="56">
      <c r="C56" t="s" s="253">
        <v>635</v>
      </c>
      <c r="E56" s="330"/>
      <c r="F56" s="330">
        <v>0.022</v>
      </c>
      <c r="G56" s="330">
        <v>0.015</v>
      </c>
      <c r="H56" s="330">
        <v>0.015</v>
      </c>
      <c r="I56" s="330">
        <v>0.015</v>
      </c>
      <c r="J56" s="330">
        <v>0.015</v>
      </c>
    </row>
    <row r="57">
      <c r="C57" t="s" s="253">
        <v>11</v>
      </c>
      <c r="E57" s="330">
        <v>0.61</v>
      </c>
      <c r="F57" s="333">
        <f>$E$57+($J$57-$E$57)*(YEAR(F$50)-YEAR($E$50))/(YEAR($J$50)-YEAR($E$50))</f>
        <v>0.646</v>
      </c>
      <c r="G57" s="333">
        <f>$E$57+($J$57-$E$57)*(YEAR(G$50)-YEAR($E$50))/(YEAR($J$50)-YEAR($E$50))</f>
        <v>0.682</v>
      </c>
      <c r="H57" s="333">
        <f>$E$57+($J$57-$E$57)*(YEAR(H$50)-YEAR($E$50))/(YEAR($J$50)-YEAR($E$50))</f>
        <v>0.718</v>
      </c>
      <c r="I57" s="333">
        <f>$E$57+($J$57-$E$57)*(YEAR(I$50)-YEAR($E$50))/(YEAR($J$50)-YEAR($E$50))</f>
        <v>0.754</v>
      </c>
      <c r="J57" s="330">
        <v>0.79</v>
      </c>
    </row>
    <row r="58">
      <c r="C58" t="s" s="253">
        <v>1785</v>
      </c>
      <c r="E58" s="330"/>
      <c r="F58" s="330">
        <v>0.02</v>
      </c>
      <c r="G58" s="330">
        <v>0.02</v>
      </c>
      <c r="H58" s="330">
        <v>0.02</v>
      </c>
      <c r="I58" s="330">
        <v>0.02</v>
      </c>
      <c r="J58" s="330">
        <v>0.02</v>
      </c>
    </row>
    <row r="61">
      <c r="A61" t="s" s="247">
        <v>1344</v>
      </c>
      <c r="C61" t="s" s="473">
        <v>1786</v>
      </c>
      <c r="D61" s="473"/>
      <c r="E61" t="s" s="473">
        <v>1451</v>
      </c>
      <c r="F61" t="s" s="473">
        <v>1452</v>
      </c>
      <c r="G61" t="s" s="473">
        <v>2005</v>
      </c>
    </row>
    <row r="62">
      <c r="C62" t="s" s="247">
        <v>629</v>
      </c>
      <c r="E62" s="538">
        <f>Model!I204</f>
        <v>0.21071793437004088</v>
      </c>
      <c r="F62" s="539">
        <f>Model!I205</f>
        <v>2.3735574644539157</v>
      </c>
      <c r="G62" s="540">
        <f>INDEX(Model!K194:N194,MATCH(Model!M8,Model!K54:N54,0))</f>
        <v>23.590269969091864</v>
      </c>
    </row>
    <row r="63">
      <c r="C63" t="s" s="247">
        <v>1347</v>
      </c>
      <c r="D63" s="537">
        <v>1</v>
      </c>
      <c r="E63" s="541">
        <f t="dataTable" ref="E63:G66" r1="D3"/>
        <v>0.16343494057655336</v>
      </c>
      <c r="F63" s="542">
        <v>1.9823955886446203</v>
      </c>
      <c r="G63" s="543">
        <v>20.65668604576747</v>
      </c>
    </row>
    <row r="64">
      <c r="C64" t="s" s="247">
        <v>1939</v>
      </c>
      <c r="D64" s="537">
        <v>2</v>
      </c>
      <c r="E64" s="541">
        <v>0.32423140406608586</v>
      </c>
      <c r="F64" s="542">
        <v>3.5591277516517956</v>
      </c>
      <c r="G64" s="543">
        <v>32.48165266659794</v>
      </c>
    </row>
    <row r="65">
      <c r="C65" t="s" s="247">
        <v>1349</v>
      </c>
      <c r="D65" s="537">
        <v>3</v>
      </c>
      <c r="E65" s="541">
        <v>0.25675064921379087</v>
      </c>
      <c r="F65" s="542">
        <v>2.809702870288302</v>
      </c>
      <c r="G65" s="543">
        <v>26.861215400929744</v>
      </c>
    </row>
    <row r="66">
      <c r="C66" t="s" s="247">
        <v>1940</v>
      </c>
      <c r="D66" s="537">
        <v>4</v>
      </c>
      <c r="E66" s="541">
        <v>0.21071793437004088</v>
      </c>
      <c r="F66" s="542">
        <v>2.3735574644539175</v>
      </c>
      <c r="G66" s="543">
        <v>23.590269969091878</v>
      </c>
    </row>
    <row r="68">
      <c r="C68" t="s" s="501">
        <v>1942</v>
      </c>
      <c r="D68" s="502"/>
      <c r="E68" s="504">
        <f>EOMONTH(F68,-12)</f>
        <v>46022</v>
      </c>
      <c r="F68" s="503">
        <f>F6</f>
        <v>46387</v>
      </c>
      <c r="G68" s="503">
        <f>EOMONTH(F68,12)</f>
        <v>46752</v>
      </c>
      <c r="H68" s="503">
        <f>EOMONTH(G68,12)</f>
        <v>47118</v>
      </c>
      <c r="I68" s="503">
        <f>EOMONTH(H68,12)</f>
        <v>47483</v>
      </c>
      <c r="J68" s="503">
        <f>EOMONTH(I68,12)</f>
        <v>47848</v>
      </c>
      <c r="K68" s="503">
        <f>EOMONTH(J68,12)</f>
        <v>48213</v>
      </c>
    </row>
    <row r="69">
      <c r="C69" t="s" s="253">
        <v>1943</v>
      </c>
      <c r="E69" s="507">
        <f>'Income Statement'!F6</f>
        <v>731.368</v>
      </c>
      <c r="F69" s="505"/>
      <c r="G69" s="505"/>
      <c r="H69" s="505"/>
      <c r="I69" s="505"/>
      <c r="J69" s="505"/>
      <c r="K69" s="505"/>
    </row>
    <row r="70">
      <c r="C70" t="s" s="253">
        <v>1944</v>
      </c>
      <c r="E70" s="517">
        <v>817.005</v>
      </c>
      <c r="F70" s="505"/>
      <c r="G70" s="505"/>
      <c r="H70" s="505"/>
      <c r="I70" s="505"/>
      <c r="J70" s="505"/>
      <c r="K70" s="505"/>
    </row>
    <row r="71">
      <c r="C71" t="s" s="253">
        <v>1945</v>
      </c>
      <c r="E71" s="517">
        <v>708.264</v>
      </c>
      <c r="F71" s="505"/>
      <c r="G71" s="505"/>
      <c r="H71" s="505"/>
      <c r="I71" s="505"/>
      <c r="J71" s="505"/>
      <c r="K71" s="505"/>
    </row>
    <row r="72">
      <c r="C72" t="s" s="253">
        <v>1946</v>
      </c>
      <c r="E72" s="508">
        <f>E70/E71-1</f>
        <v>0.15353173392972108</v>
      </c>
      <c r="F72" s="505"/>
      <c r="G72" s="505"/>
      <c r="H72" s="505"/>
      <c r="I72" s="505"/>
      <c r="J72" s="505"/>
      <c r="K72" s="505"/>
    </row>
    <row r="73">
      <c r="C73" t="s" s="253">
        <v>1947</v>
      </c>
      <c r="E73" s="518">
        <v>0.188</v>
      </c>
      <c r="F73" s="505"/>
      <c r="G73" s="505"/>
      <c r="H73" s="505"/>
      <c r="I73" s="505"/>
      <c r="J73" s="505"/>
      <c r="K73" s="505"/>
    </row>
    <row r="74">
      <c r="C74" t="s" s="253">
        <v>1948</v>
      </c>
      <c r="E74" s="517">
        <v>840.962</v>
      </c>
      <c r="F74" s="505"/>
      <c r="G74" s="505"/>
      <c r="H74" s="505"/>
      <c r="I74" s="505"/>
      <c r="J74" s="505"/>
      <c r="K74" s="505"/>
    </row>
    <row r="75">
      <c r="C75" t="s" s="253">
        <v>1949</v>
      </c>
      <c r="E75" s="517">
        <v>282</v>
      </c>
      <c r="F75" s="505"/>
      <c r="G75" s="505"/>
      <c r="H75" s="505"/>
      <c r="I75" s="505"/>
      <c r="J75" s="505"/>
      <c r="K75" s="505"/>
    </row>
    <row r="76">
      <c r="C76" t="s" s="253">
        <v>1950</v>
      </c>
      <c r="E76" s="506">
        <f>E74-E75</f>
        <v>558.962</v>
      </c>
      <c r="F76" s="505"/>
      <c r="G76" s="505"/>
      <c r="H76" s="505"/>
      <c r="I76" s="505"/>
      <c r="J76" s="505"/>
      <c r="K76" s="505"/>
    </row>
    <row r="77">
      <c r="C77" t="s" s="253">
        <v>1951</v>
      </c>
      <c r="E77" s="517">
        <v>474.924</v>
      </c>
      <c r="F77" s="505"/>
      <c r="G77" s="505"/>
      <c r="H77" s="505"/>
      <c r="I77" s="505"/>
      <c r="J77" s="505"/>
      <c r="K77" s="505"/>
    </row>
    <row r="78">
      <c r="C78" t="s" s="253">
        <v>1952</v>
      </c>
      <c r="E78" s="508">
        <f>E76/E77-1</f>
        <v>0.17695041732993078</v>
      </c>
      <c r="F78" s="505"/>
      <c r="G78" s="505"/>
      <c r="H78" s="505"/>
      <c r="I78" s="505"/>
      <c r="J78" s="505"/>
      <c r="K78" s="505"/>
    </row>
    <row r="79">
      <c r="C79" t="s" s="253">
        <v>1953</v>
      </c>
      <c r="E79" s="517">
        <v>270.7</v>
      </c>
      <c r="F79" s="505"/>
      <c r="G79" s="505"/>
      <c r="H79" s="505"/>
      <c r="I79" s="505"/>
      <c r="J79" s="505"/>
      <c r="K79" s="505"/>
    </row>
    <row r="80">
      <c r="C80" t="s" s="253">
        <v>1954</v>
      </c>
      <c r="E80" s="508">
        <f>(E75/E79)^2-1</f>
        <v>0.08522978571201456</v>
      </c>
      <c r="F80" s="505"/>
      <c r="G80" s="505"/>
      <c r="H80" s="505"/>
      <c r="I80" s="505"/>
      <c r="J80" s="505"/>
      <c r="K80" s="505"/>
    </row>
    <row r="81">
      <c r="C81" t="s" s="253">
        <v>1955</v>
      </c>
      <c r="E81" s="508">
        <f>E76/E74</f>
        <v>0.6646697472656315</v>
      </c>
      <c r="F81" s="505"/>
      <c r="G81" s="505"/>
      <c r="H81" s="505"/>
      <c r="I81" s="505"/>
      <c r="J81" s="505"/>
      <c r="K81" s="505"/>
    </row>
    <row r="82">
      <c r="C82" t="s" s="253">
        <v>1956</v>
      </c>
      <c r="E82" s="508">
        <f>E81*E78+(1-E81)*E80</f>
        <v>0.14619371474853904</v>
      </c>
      <c r="F82" s="505"/>
      <c r="G82" s="505"/>
      <c r="H82" s="505"/>
      <c r="I82" s="505"/>
      <c r="J82" s="505"/>
      <c r="K82" s="505"/>
    </row>
    <row r="83">
      <c r="C83" t="s" s="253">
        <v>1957</v>
      </c>
      <c r="E83" s="518">
        <v>1.09</v>
      </c>
      <c r="F83" s="505"/>
      <c r="G83" s="505"/>
      <c r="H83" s="505"/>
      <c r="I83" s="505"/>
      <c r="J83" s="505"/>
      <c r="K83" s="505"/>
    </row>
    <row r="84">
      <c r="C84" t="s" s="253">
        <v>1958</v>
      </c>
      <c r="E84" s="518">
        <v>0.01</v>
      </c>
      <c r="F84" s="505"/>
      <c r="G84" s="505"/>
      <c r="H84" s="505"/>
      <c r="I84" s="505"/>
      <c r="J84" s="505"/>
      <c r="K84" s="505"/>
    </row>
    <row r="85">
      <c r="C85" t="s" s="253">
        <v>1959</v>
      </c>
      <c r="E85" s="518">
        <v>0.1</v>
      </c>
      <c r="F85" s="505"/>
      <c r="G85" s="505"/>
      <c r="H85" s="505"/>
      <c r="I85" s="505"/>
      <c r="J85" s="505"/>
      <c r="K85" s="505"/>
    </row>
    <row r="86">
      <c r="C86" t="s" s="253">
        <v>1960</v>
      </c>
      <c r="E86" s="505"/>
      <c r="F86" s="508">
        <f>E82</f>
        <v>0.14619371474853904</v>
      </c>
      <c r="G86" s="508">
        <f>MAX($E$85,F86-$E$84)</f>
        <v>0.13619371474853903</v>
      </c>
      <c r="H86" s="508">
        <f>MAX($E$85,G86-$E$84)</f>
        <v>0.12619371474853902</v>
      </c>
      <c r="I86" s="508">
        <f>MAX($E$85,H86-$E$84)</f>
        <v>0.11619371474853903</v>
      </c>
      <c r="J86" s="508">
        <f>MAX($E$85,I86-$E$84)</f>
        <v>0.10619371474853903</v>
      </c>
      <c r="K86" s="508">
        <f>MAX($E$85,J86-$E$84)</f>
        <v>0.1</v>
      </c>
    </row>
    <row r="87">
      <c r="C87" t="s" s="510">
        <v>1961</v>
      </c>
      <c r="D87" s="511"/>
      <c r="E87" s="514">
        <f>E70</f>
        <v>817.005</v>
      </c>
      <c r="F87" s="514">
        <f>E87*(1+F86)</f>
        <v>936.4459959181302</v>
      </c>
      <c r="G87" s="514">
        <f>F87*(1+G86)</f>
        <v>1063.9840547636156</v>
      </c>
      <c r="H87" s="514">
        <f>G87*(1+H86)</f>
        <v>1198.2521550674492</v>
      </c>
      <c r="I87" s="514">
        <f>H87*(1+I86)</f>
        <v>1337.4815241701785</v>
      </c>
      <c r="J87" s="514">
        <f>I87*(1+J86)</f>
        <v>1479.5136556293476</v>
      </c>
      <c r="K87" s="514">
        <f>J87*(1+K86)</f>
        <v>1627.4650211922824</v>
      </c>
    </row>
    <row r="88">
      <c r="C88" t="s" s="253">
        <v>1962</v>
      </c>
      <c r="E88" s="505"/>
      <c r="F88" s="508">
        <f>F87/E69-1</f>
        <v>0.2804032934420566</v>
      </c>
      <c r="G88" s="508">
        <f>G87/F87-1</f>
        <v>0.13619371474853903</v>
      </c>
      <c r="H88" s="508">
        <f>H87/G87-1</f>
        <v>0.12619371474853902</v>
      </c>
      <c r="I88" s="508">
        <f>I87/H87-1</f>
        <v>0.11619371474853901</v>
      </c>
      <c r="J88" s="508">
        <f>J87/I87-1</f>
        <v>0.106193714748539</v>
      </c>
      <c r="K88" s="508">
        <f>K87/J87-1</f>
        <v>0.10000000000000009</v>
      </c>
    </row>
    <row r="90">
      <c r="C90" t="s" s="253">
        <v>1963</v>
      </c>
      <c r="E90" s="509">
        <f>'Income Statement'!B33</f>
        <v>0.2883716500940394</v>
      </c>
      <c r="F90" s="505"/>
      <c r="G90" s="505"/>
      <c r="H90" s="505"/>
      <c r="I90" s="505"/>
      <c r="J90" s="505"/>
      <c r="K90" s="505"/>
    </row>
    <row r="91">
      <c r="C91" t="s" s="253">
        <v>1964</v>
      </c>
      <c r="E91" s="509">
        <f>'Income Statement'!F33</f>
        <v>0.33935036807735636</v>
      </c>
      <c r="F91" s="505"/>
      <c r="G91" s="505"/>
      <c r="H91" s="505"/>
      <c r="I91" s="505"/>
      <c r="J91" s="505"/>
      <c r="K91" s="505"/>
    </row>
    <row r="92">
      <c r="C92" t="s" s="253">
        <v>1965</v>
      </c>
      <c r="E92" s="520">
        <f>(E91-E90)/(COUNT('Income Statement'!B33:F33)-1)</f>
        <v>0.012744679495829234</v>
      </c>
      <c r="F92" s="505"/>
      <c r="G92" s="505"/>
      <c r="H92" s="505"/>
      <c r="I92" s="505"/>
      <c r="J92" s="505"/>
      <c r="K92" s="505"/>
    </row>
    <row r="93">
      <c r="C93" t="s" s="253">
        <v>1966</v>
      </c>
      <c r="E93" s="505"/>
      <c r="F93" s="518">
        <v>1</v>
      </c>
      <c r="G93" s="518">
        <v>0.75</v>
      </c>
      <c r="H93" s="518">
        <v>0.5</v>
      </c>
      <c r="I93" s="518">
        <v>0.5</v>
      </c>
      <c r="J93" s="518">
        <v>0.25</v>
      </c>
      <c r="K93" s="518">
        <v>0.25</v>
      </c>
    </row>
    <row r="94">
      <c r="C94" t="s" s="253">
        <v>1967</v>
      </c>
      <c r="E94" s="517">
        <v>20</v>
      </c>
      <c r="F94" s="505"/>
      <c r="G94" s="505"/>
      <c r="H94" s="505"/>
      <c r="I94" s="505"/>
      <c r="J94" s="505"/>
      <c r="K94" s="505"/>
    </row>
    <row r="95">
      <c r="C95" t="s" s="253">
        <v>1968</v>
      </c>
      <c r="E95" s="518">
        <v>0.5</v>
      </c>
      <c r="F95" s="505"/>
      <c r="G95" s="505"/>
      <c r="H95" s="505"/>
      <c r="I95" s="505"/>
      <c r="J95" s="505"/>
      <c r="K95" s="505"/>
    </row>
    <row r="96">
      <c r="C96" t="s" s="253">
        <v>1969</v>
      </c>
      <c r="E96" s="505"/>
      <c r="F96" s="518">
        <v>0.5</v>
      </c>
      <c r="G96" s="518">
        <v>0.5</v>
      </c>
      <c r="H96" s="518">
        <v>0</v>
      </c>
      <c r="I96" s="518">
        <v>0</v>
      </c>
      <c r="J96" s="518">
        <v>0</v>
      </c>
      <c r="K96" s="518">
        <v>0</v>
      </c>
    </row>
    <row r="97">
      <c r="C97" t="s" s="253">
        <v>1970</v>
      </c>
      <c r="E97" s="505"/>
      <c r="F97" s="506">
        <f>$E$94*(1-$E$95)*F96</f>
        <v>5</v>
      </c>
      <c r="G97" s="506">
        <f>$E$94*(1-$E$95)*G96</f>
        <v>5</v>
      </c>
      <c r="H97" s="506">
        <f>$E$94*(1-$E$95)*H96</f>
        <v>0</v>
      </c>
      <c r="I97" s="506">
        <f>$E$94*(1-$E$95)*I96</f>
        <v>0</v>
      </c>
      <c r="J97" s="506">
        <f>$E$94*(1-$E$95)*J96</f>
        <v>0</v>
      </c>
      <c r="K97" s="506">
        <f>$E$94*(1-$E$95)*K96</f>
        <v>0</v>
      </c>
    </row>
    <row r="98">
      <c r="C98" t="s" s="510">
        <v>1971</v>
      </c>
      <c r="D98" s="511"/>
      <c r="E98" s="512"/>
      <c r="F98" s="513">
        <f>$E$91+$E$92*F93+F97/F87</f>
        <v>0.3574343837674717</v>
      </c>
      <c r="G98" s="513">
        <f>F98+$E$92*G93+G97/G87</f>
        <v>0.3716922119342168</v>
      </c>
      <c r="H98" s="513">
        <f>G98+$E$92*H93+H97/H87</f>
        <v>0.37806455168213143</v>
      </c>
      <c r="I98" s="513">
        <f>H98+$E$92*I93+I97/I87</f>
        <v>0.38443689143004606</v>
      </c>
      <c r="J98" s="513">
        <f>I98+$E$92*J93+J97/J87</f>
        <v>0.38762306130400337</v>
      </c>
      <c r="K98" s="513">
        <f>J98+$E$92*K93+K97/K87</f>
        <v>0.3908092311779607</v>
      </c>
    </row>
    <row r="100">
      <c r="C100" t="s" s="253">
        <v>1972</v>
      </c>
      <c r="E100" s="507">
        <f>'Income Statement'!F30</f>
        <v>127.896</v>
      </c>
      <c r="F100" s="505"/>
      <c r="G100" s="505"/>
      <c r="H100" s="505"/>
      <c r="I100" s="505"/>
      <c r="J100" s="505"/>
      <c r="K100" s="505"/>
    </row>
    <row r="101">
      <c r="C101" t="s" s="253">
        <v>1973</v>
      </c>
      <c r="E101" s="517">
        <v>152.9</v>
      </c>
      <c r="F101" s="505"/>
      <c r="G101" s="505"/>
      <c r="H101" s="505"/>
      <c r="I101" s="505"/>
      <c r="J101" s="505"/>
      <c r="K101" s="505"/>
    </row>
    <row r="102">
      <c r="C102" t="s" s="253">
        <v>1974</v>
      </c>
      <c r="E102" s="519">
        <v>2.3</v>
      </c>
      <c r="F102" s="505"/>
      <c r="G102" s="505"/>
      <c r="H102" s="505"/>
      <c r="I102" s="505"/>
      <c r="J102" s="505"/>
      <c r="K102" s="505"/>
    </row>
    <row r="103">
      <c r="C103" t="s" s="253">
        <v>1975</v>
      </c>
      <c r="E103" s="506">
        <f>E101/E102</f>
        <v>66.47826086956522</v>
      </c>
      <c r="F103" s="505"/>
      <c r="G103" s="505"/>
      <c r="H103" s="505"/>
      <c r="I103" s="505"/>
      <c r="J103" s="505"/>
      <c r="K103" s="505"/>
    </row>
    <row r="104">
      <c r="C104" t="s" s="253">
        <v>1976</v>
      </c>
      <c r="E104" s="518">
        <v>0.5</v>
      </c>
      <c r="F104" s="505"/>
      <c r="G104" s="505"/>
      <c r="H104" s="505"/>
      <c r="I104" s="505"/>
      <c r="J104" s="505"/>
      <c r="K104" s="505"/>
    </row>
    <row r="105">
      <c r="C105" t="s" s="510">
        <v>1977</v>
      </c>
      <c r="D105" s="511"/>
      <c r="E105" s="512"/>
      <c r="F105" s="514">
        <f>$E$100</f>
        <v>127.896</v>
      </c>
      <c r="G105" s="514">
        <f>F105</f>
        <v>127.896</v>
      </c>
      <c r="H105" s="514">
        <f>G105*(1+$E$104*H86)</f>
        <v>135.96583567073958</v>
      </c>
      <c r="I105" s="514">
        <f>H105*(1+$E$104*I86)</f>
        <v>143.8650234334759</v>
      </c>
      <c r="J105" s="514">
        <f>I105*(1+$E$104*J86)</f>
        <v>151.50380406386913</v>
      </c>
      <c r="K105" s="514">
        <f>J105*(1+$E$104*K86)</f>
        <v>159.0789942670626</v>
      </c>
    </row>
    <row r="106">
      <c r="C106" t="s" s="265">
        <v>2356</v>
      </c>
    </row>
    <row r="107">
      <c r="C107" t="s" s="253">
        <v>1978</v>
      </c>
      <c r="E107" s="509">
        <f>-SUM('Cash Flow'!B28:F28)/SUM('Income Statement'!B6:F6)</f>
        <v>0.01671739952828644</v>
      </c>
      <c r="F107" s="505"/>
      <c r="G107" s="505"/>
      <c r="H107" s="505"/>
      <c r="I107" s="505"/>
      <c r="J107" s="505"/>
      <c r="K107" s="505"/>
    </row>
    <row r="108">
      <c r="C108" t="s" s="253">
        <v>1979</v>
      </c>
      <c r="E108" s="517">
        <v>5.6</v>
      </c>
      <c r="F108" s="505"/>
      <c r="G108" s="505"/>
      <c r="H108" s="505"/>
      <c r="I108" s="505"/>
      <c r="J108" s="505"/>
      <c r="K108" s="505"/>
    </row>
    <row r="109">
      <c r="C109" t="s" s="253">
        <v>1980</v>
      </c>
      <c r="E109" s="517">
        <v>75.7</v>
      </c>
      <c r="F109" s="505"/>
      <c r="G109" s="505"/>
      <c r="H109" s="505"/>
      <c r="I109" s="505"/>
      <c r="J109" s="505"/>
      <c r="K109" s="505"/>
    </row>
    <row r="110">
      <c r="C110" t="s" s="253">
        <v>1981</v>
      </c>
      <c r="E110" s="509">
        <f>('Income Statement'!E31+'Income Statement'!F31-E108-E109)/-('Cash Flow'!E28+'Cash Flow'!F28)</f>
        <v>0.9767441860465114</v>
      </c>
      <c r="F110" s="505"/>
      <c r="G110" s="505"/>
      <c r="H110" s="505"/>
      <c r="I110" s="505"/>
      <c r="J110" s="505"/>
      <c r="K110" s="505"/>
    </row>
    <row r="111">
      <c r="C111" t="s" s="253">
        <v>1982</v>
      </c>
      <c r="E111" s="509">
        <f>-(SUM('Cash Flow'!D18:F22)+SUM('Cash Flow'!D24:F24))/SUM('Income Statement'!D6:F6)</f>
        <v>0.027201017959324163</v>
      </c>
      <c r="F111" s="505"/>
      <c r="G111" s="505"/>
      <c r="H111" s="505"/>
      <c r="I111" s="505"/>
      <c r="J111" s="505"/>
      <c r="K111" s="505"/>
    </row>
    <row r="112">
      <c r="C112" t="s" s="253">
        <v>1983</v>
      </c>
      <c r="E112" s="509">
        <f>SUM('Cash Flow'!D10:F10)/SUM('Income Statement'!D6:F6)</f>
        <v>0.013868664424732441</v>
      </c>
      <c r="F112" s="505"/>
      <c r="G112" s="505"/>
      <c r="H112" s="505"/>
      <c r="I112" s="505"/>
      <c r="J112" s="505"/>
      <c r="K112" s="505"/>
    </row>
    <row r="114">
      <c r="C114" t="s" s="473">
        <v>2006</v>
      </c>
      <c r="D114" s="473"/>
      <c r="E114" s="473"/>
      <c r="F114" s="473"/>
    </row>
    <row r="115">
      <c r="D115" t="s" s="271">
        <v>897</v>
      </c>
      <c r="E115" t="s" s="271">
        <v>2007</v>
      </c>
      <c r="F115" t="s" s="271">
        <v>2008</v>
      </c>
    </row>
    <row r="116">
      <c r="C116" t="s" s="247">
        <v>2009</v>
      </c>
      <c r="E116" s="537">
        <v>2</v>
      </c>
      <c r="F116" s="537">
        <v>4</v>
      </c>
    </row>
    <row r="117">
      <c r="C117" t="s" s="247">
        <v>2010</v>
      </c>
      <c r="D117" s="544">
        <f>Model!J55</f>
        <v>936.4459959181302</v>
      </c>
      <c r="E117" s="546">
        <f t="dataTable" ref="E117:F223" dtr="1" r1="D3"/>
        <v>941.7615342465755</v>
      </c>
      <c r="F117" s="546">
        <v>936.4459959181302</v>
      </c>
    </row>
    <row r="118">
      <c r="C118" t="s" s="247">
        <v>2011</v>
      </c>
      <c r="D118" s="544">
        <f>Model!K55</f>
        <v>1063.9840547636156</v>
      </c>
      <c r="E118" s="546">
        <v>1102.0613698630139</v>
      </c>
      <c r="F118" s="546">
        <v>1063.9840547636156</v>
      </c>
    </row>
    <row r="119">
      <c r="C119" t="s" s="247">
        <v>2012</v>
      </c>
      <c r="D119" s="544">
        <f>Model!L55</f>
        <v>1198.2521550674492</v>
      </c>
      <c r="E119" s="546">
        <v>1300.4324164383563</v>
      </c>
      <c r="F119" s="546">
        <v>1198.2521550674492</v>
      </c>
    </row>
    <row r="120">
      <c r="C120" t="s" s="247">
        <v>2013</v>
      </c>
      <c r="D120" s="544">
        <f>Model!M55</f>
        <v>1337.4815241701785</v>
      </c>
      <c r="E120" s="546">
        <v>1533.8690520547948</v>
      </c>
      <c r="F120" s="546">
        <v>1337.4815241701785</v>
      </c>
    </row>
    <row r="121">
      <c r="C121" t="s" s="247">
        <v>2014</v>
      </c>
      <c r="D121" s="544">
        <f>Model!N55</f>
        <v>1479.5136556293476</v>
      </c>
      <c r="E121" s="546">
        <v>1810.386268493151</v>
      </c>
      <c r="F121" s="546">
        <v>1479.5136556293476</v>
      </c>
    </row>
    <row r="122">
      <c r="C122" t="s" s="247">
        <v>2015</v>
      </c>
      <c r="D122" s="544">
        <f>Model!O55</f>
        <v>1627.4650211922824</v>
      </c>
      <c r="E122" s="546">
        <v>2100.048071452055</v>
      </c>
      <c r="F122" s="546">
        <v>1627.4650211922824</v>
      </c>
    </row>
    <row r="123">
      <c r="C123" t="s" s="247">
        <v>2016</v>
      </c>
      <c r="D123" s="538">
        <f>Model!J56</f>
        <v>0.2804032934420566</v>
      </c>
      <c r="E123" s="541">
        <v>0.28767123287671237</v>
      </c>
      <c r="F123" s="541">
        <v>0.2804032934420566</v>
      </c>
    </row>
    <row r="124">
      <c r="C124" t="s" s="247">
        <v>2017</v>
      </c>
      <c r="D124" s="538">
        <f>Model!K56</f>
        <v>0.13619371474853903</v>
      </c>
      <c r="E124" s="541">
        <v>0.17021276595744683</v>
      </c>
      <c r="F124" s="541">
        <v>0.13619371474853903</v>
      </c>
    </row>
    <row r="125">
      <c r="C125" t="s" s="247">
        <v>2018</v>
      </c>
      <c r="D125" s="538">
        <f>Model!L56</f>
        <v>0.12619371474853902</v>
      </c>
      <c r="E125" s="541">
        <v>0.17999999999999994</v>
      </c>
      <c r="F125" s="541">
        <v>0.12619371474853902</v>
      </c>
    </row>
    <row r="126">
      <c r="C126" t="s" s="247">
        <v>2019</v>
      </c>
      <c r="D126" s="538">
        <f>Model!M56</f>
        <v>0.11619371474853901</v>
      </c>
      <c r="E126" s="541">
        <v>0.17950693374422189</v>
      </c>
      <c r="F126" s="541">
        <v>0.11619371474853901</v>
      </c>
    </row>
    <row r="127">
      <c r="C127" t="s" s="247">
        <v>2020</v>
      </c>
      <c r="D127" s="538">
        <f>Model!N56</f>
        <v>0.106193714748539</v>
      </c>
      <c r="E127" s="541">
        <v>0.18027433050293928</v>
      </c>
      <c r="F127" s="541">
        <v>0.106193714748539</v>
      </c>
    </row>
    <row r="128">
      <c r="C128" t="s" s="247">
        <v>2021</v>
      </c>
      <c r="D128" s="538">
        <f>Model!O56</f>
        <v>0.10000000000000009</v>
      </c>
      <c r="E128" s="541">
        <v>0.16</v>
      </c>
      <c r="F128" s="541">
        <v>0.10000000000000009</v>
      </c>
    </row>
    <row r="129">
      <c r="C129" t="s" s="247">
        <v>2022</v>
      </c>
      <c r="D129" s="544">
        <f>Model!J57</f>
        <v>334.71799748251317</v>
      </c>
      <c r="E129" s="546">
        <v>338.6334027397261</v>
      </c>
      <c r="F129" s="546">
        <v>334.71799748251317</v>
      </c>
    </row>
    <row r="130">
      <c r="C130" t="s" s="247">
        <v>2023</v>
      </c>
      <c r="D130" s="544">
        <f>Model!K57</f>
        <v>395.47458677782515</v>
      </c>
      <c r="E130" s="546">
        <v>418.78332054794527</v>
      </c>
      <c r="F130" s="546">
        <v>395.47458677782515</v>
      </c>
    </row>
    <row r="131">
      <c r="C131" t="s" s="247">
        <v>2024</v>
      </c>
      <c r="D131" s="544">
        <f>Model!L57</f>
        <v>453.016663807723</v>
      </c>
      <c r="E131" s="546">
        <v>518.9707178082192</v>
      </c>
      <c r="F131" s="546">
        <v>453.016663807723</v>
      </c>
    </row>
    <row r="132">
      <c r="C132" t="s" s="247">
        <v>2025</v>
      </c>
      <c r="D132" s="544">
        <f>Model!M57</f>
        <v>514.1772394971034</v>
      </c>
      <c r="E132" s="546">
        <v>635.1880986301371</v>
      </c>
      <c r="F132" s="546">
        <v>514.1772394971034</v>
      </c>
    </row>
    <row r="133">
      <c r="C133" t="s" s="247">
        <v>2026</v>
      </c>
      <c r="D133" s="544">
        <f>Model!N57</f>
        <v>573.4936124361247</v>
      </c>
      <c r="E133" s="546">
        <v>764.4298410958905</v>
      </c>
      <c r="F133" s="546">
        <v>573.4936124361247</v>
      </c>
    </row>
    <row r="134">
      <c r="C134" t="s" s="247">
        <v>2027</v>
      </c>
      <c r="D134" s="544">
        <f>Model!O57</f>
        <v>636.0283537011794</v>
      </c>
      <c r="E134" s="546">
        <v>896.7205265100274</v>
      </c>
      <c r="F134" s="546">
        <v>636.0283537011794</v>
      </c>
    </row>
    <row r="135">
      <c r="C135" t="s" s="247">
        <v>2028</v>
      </c>
      <c r="D135" s="538">
        <f>Model!J58</f>
        <v>0.3574343837674717</v>
      </c>
      <c r="E135" s="541">
        <v>0.3595744680851064</v>
      </c>
      <c r="F135" s="541">
        <v>0.3574343837674717</v>
      </c>
    </row>
    <row r="136">
      <c r="C136" t="s" s="247">
        <v>2029</v>
      </c>
      <c r="D136" s="538">
        <f>Model!K58</f>
        <v>0.3716922119342168</v>
      </c>
      <c r="E136" s="541">
        <v>0.38</v>
      </c>
      <c r="F136" s="541">
        <v>0.3716922119342168</v>
      </c>
    </row>
    <row r="137">
      <c r="C137" t="s" s="247">
        <v>2030</v>
      </c>
      <c r="D137" s="538">
        <f>Model!L58</f>
        <v>0.37806455168213143</v>
      </c>
      <c r="E137" s="541">
        <v>0.39907550077041604</v>
      </c>
      <c r="F137" s="541">
        <v>0.37806455168213143</v>
      </c>
    </row>
    <row r="138">
      <c r="C138" t="s" s="247">
        <v>2031</v>
      </c>
      <c r="D138" s="538">
        <f>Model!M58</f>
        <v>0.38443689143004606</v>
      </c>
      <c r="E138" s="541">
        <v>0.41410842586544744</v>
      </c>
      <c r="F138" s="541">
        <v>0.38443689143004606</v>
      </c>
    </row>
    <row r="139">
      <c r="C139" t="s" s="247">
        <v>2032</v>
      </c>
      <c r="D139" s="538">
        <f>Model!N58</f>
        <v>0.38762306130400337</v>
      </c>
      <c r="E139" s="541">
        <v>0.4222468179302712</v>
      </c>
      <c r="F139" s="541">
        <v>0.38762306130400337</v>
      </c>
    </row>
    <row r="140">
      <c r="C140" t="s" s="247">
        <v>2033</v>
      </c>
      <c r="D140" s="538">
        <f>Model!O58</f>
        <v>0.3908092311779607</v>
      </c>
      <c r="E140" s="541">
        <v>0.427</v>
      </c>
      <c r="F140" s="541">
        <v>0.3908092311779607</v>
      </c>
    </row>
    <row r="141">
      <c r="C141" t="s" s="247">
        <v>2034</v>
      </c>
      <c r="D141" s="544">
        <f>Model!J99</f>
        <v>89.17061440623087</v>
      </c>
      <c r="E141" s="546">
        <v>92.92994746702246</v>
      </c>
      <c r="F141" s="546">
        <v>89.17061440623087</v>
      </c>
    </row>
    <row r="142">
      <c r="C142" t="s" s="247">
        <v>2035</v>
      </c>
      <c r="D142" s="544">
        <f>Model!K99</f>
        <v>227.109547846625</v>
      </c>
      <c r="E142" s="546">
        <v>260.0933813221918</v>
      </c>
      <c r="F142" s="546">
        <v>227.109547846625</v>
      </c>
    </row>
    <row r="143">
      <c r="C143" t="s" s="247">
        <v>2036</v>
      </c>
      <c r="D143" s="544">
        <f>Model!L99</f>
        <v>270.9251581580244</v>
      </c>
      <c r="E143" s="546">
        <v>352.94337721241646</v>
      </c>
      <c r="F143" s="546">
        <v>270.9251581580244</v>
      </c>
    </row>
    <row r="144">
      <c r="C144" t="s" s="247">
        <v>2037</v>
      </c>
      <c r="D144" s="544">
        <f>Model!M99</f>
        <v>318.2522605391023</v>
      </c>
      <c r="E144" s="546">
        <v>460.59153708592345</v>
      </c>
      <c r="F144" s="546">
        <v>318.2522605391023</v>
      </c>
    </row>
    <row r="145">
      <c r="C145" t="s" s="247">
        <v>2038</v>
      </c>
      <c r="D145" s="544">
        <f>Model!N99</f>
        <v>363.96906609455505</v>
      </c>
      <c r="E145" s="546">
        <v>579.9847251517535</v>
      </c>
      <c r="F145" s="546">
        <v>363.96906609455505</v>
      </c>
    </row>
    <row r="146">
      <c r="C146" t="s" s="247">
        <v>2039</v>
      </c>
      <c r="D146" s="544">
        <f>Model!O99</f>
        <v>412.6799229707839</v>
      </c>
      <c r="E146" s="546">
        <v>702.0236251354706</v>
      </c>
      <c r="F146" s="546">
        <v>412.6799229707839</v>
      </c>
    </row>
    <row r="147">
      <c r="C147" t="s" s="247">
        <v>2040</v>
      </c>
      <c r="D147" s="544">
        <f>Model!J161</f>
        <v>2735.179759401606</v>
      </c>
      <c r="E147" s="546">
        <v>2735.179759401606</v>
      </c>
      <c r="F147" s="546">
        <v>2735.179759401606</v>
      </c>
    </row>
    <row r="148">
      <c r="C148" t="s" s="247">
        <v>2041</v>
      </c>
      <c r="D148" s="544">
        <f>Model!K161</f>
        <v>2729.1722036767824</v>
      </c>
      <c r="E148" s="546">
        <v>2690.736145462925</v>
      </c>
      <c r="F148" s="546">
        <v>2729.1722036767824</v>
      </c>
    </row>
    <row r="149">
      <c r="C149" t="s" s="247">
        <v>2042</v>
      </c>
      <c r="D149" s="544">
        <f>Model!L161</f>
        <v>2674.811809030593</v>
      </c>
      <c r="E149" s="546">
        <v>2547.822483327448</v>
      </c>
      <c r="F149" s="546">
        <v>2674.811809030593</v>
      </c>
    </row>
    <row r="150">
      <c r="C150" t="s" s="247">
        <v>2043</v>
      </c>
      <c r="D150" s="544">
        <f>Model!M161</f>
        <v>2558.292298265301</v>
      </c>
      <c r="E150" s="546">
        <v>2272.922943338843</v>
      </c>
      <c r="F150" s="546">
        <v>2558.292298265301</v>
      </c>
    </row>
    <row r="151">
      <c r="C151" t="s" s="247">
        <v>2044</v>
      </c>
      <c r="D151" s="544">
        <f>Model!N161</f>
        <v>2384.7734913882696</v>
      </c>
      <c r="E151" s="546">
        <v>1851.5450220403511</v>
      </c>
      <c r="F151" s="546">
        <v>2384.7734913882623</v>
      </c>
    </row>
    <row r="152">
      <c r="C152" t="s" s="247">
        <v>2045</v>
      </c>
      <c r="D152" s="544">
        <f>Model!O161</f>
        <v>2146.5261234318627</v>
      </c>
      <c r="E152" s="546">
        <v>1269.0786582254104</v>
      </c>
      <c r="F152" s="546">
        <v>2146.526123553552</v>
      </c>
    </row>
    <row r="153">
      <c r="C153" t="s" s="247">
        <v>2046</v>
      </c>
      <c r="D153" s="544">
        <f>Model!J113</f>
        <v>82.75728364131959</v>
      </c>
      <c r="E153" s="546">
        <v>86.5512913337849</v>
      </c>
      <c r="F153" s="546">
        <v>82.75728364131959</v>
      </c>
    </row>
    <row r="154">
      <c r="C154" t="s" s="247">
        <v>2047</v>
      </c>
      <c r="D154" s="544">
        <f>Model!K113</f>
        <v>75</v>
      </c>
      <c r="E154" s="546">
        <v>75</v>
      </c>
      <c r="F154" s="546">
        <v>75</v>
      </c>
    </row>
    <row r="155">
      <c r="C155" t="s" s="247">
        <v>2048</v>
      </c>
      <c r="D155" s="544">
        <f>Model!L113</f>
        <v>75</v>
      </c>
      <c r="E155" s="546">
        <v>75</v>
      </c>
      <c r="F155" s="546">
        <v>75</v>
      </c>
    </row>
    <row r="156">
      <c r="C156" t="s" s="247">
        <v>2049</v>
      </c>
      <c r="D156" s="544">
        <f>Model!M113</f>
        <v>75</v>
      </c>
      <c r="E156" s="546">
        <v>75</v>
      </c>
      <c r="F156" s="546">
        <v>75</v>
      </c>
    </row>
    <row r="157">
      <c r="C157" t="s" s="247">
        <v>2050</v>
      </c>
      <c r="D157" s="544">
        <f>Model!N113</f>
        <v>74.99999999999397</v>
      </c>
      <c r="E157" s="546">
        <v>74.99999999962478</v>
      </c>
      <c r="F157" s="546">
        <v>74.99999999999633</v>
      </c>
    </row>
    <row r="158">
      <c r="C158" t="s" s="247">
        <v>2051</v>
      </c>
      <c r="D158" s="544">
        <f>Model!O113</f>
        <v>75.00000001781314</v>
      </c>
      <c r="E158" s="546">
        <v>75.00000719824516</v>
      </c>
      <c r="F158" s="546">
        <v>74.9999997155399</v>
      </c>
    </row>
    <row r="159">
      <c r="C159" t="s" s="247">
        <v>2052</v>
      </c>
      <c r="D159" s="544">
        <f>Model!J162</f>
        <v>2652.4224757602865</v>
      </c>
      <c r="E159" s="546">
        <v>2648.6284680678214</v>
      </c>
      <c r="F159" s="546">
        <v>2652.4224757602865</v>
      </c>
    </row>
    <row r="160">
      <c r="C160" t="s" s="247">
        <v>2053</v>
      </c>
      <c r="D160" s="544">
        <f>Model!K162</f>
        <v>2654.1722036767824</v>
      </c>
      <c r="E160" s="546">
        <v>2615.736145462925</v>
      </c>
      <c r="F160" s="546">
        <v>2654.1722036767824</v>
      </c>
    </row>
    <row r="161">
      <c r="C161" t="s" s="247">
        <v>2054</v>
      </c>
      <c r="D161" s="544">
        <f>Model!L162</f>
        <v>2599.811809030593</v>
      </c>
      <c r="E161" s="546">
        <v>2472.822483327448</v>
      </c>
      <c r="F161" s="546">
        <v>2599.811809030593</v>
      </c>
    </row>
    <row r="162">
      <c r="C162" t="s" s="247">
        <v>2055</v>
      </c>
      <c r="D162" s="544">
        <f>Model!M162</f>
        <v>2483.292298265301</v>
      </c>
      <c r="E162" s="546">
        <v>2197.922943338843</v>
      </c>
      <c r="F162" s="546">
        <v>2483.292298265301</v>
      </c>
    </row>
    <row r="163">
      <c r="C163" t="s" s="247">
        <v>2056</v>
      </c>
      <c r="D163" s="544">
        <f>Model!N162</f>
        <v>2309.7734913882755</v>
      </c>
      <c r="E163" s="546">
        <v>1776.5450220407263</v>
      </c>
      <c r="F163" s="546">
        <v>2309.773491388266</v>
      </c>
    </row>
    <row r="164">
      <c r="C164" t="s" s="247">
        <v>2057</v>
      </c>
      <c r="D164" s="544">
        <f>Model!O162</f>
        <v>2071.52612341405</v>
      </c>
      <c r="E164" s="546">
        <v>1194.0786510271653</v>
      </c>
      <c r="F164" s="546">
        <v>2071.526123838012</v>
      </c>
    </row>
    <row r="165">
      <c r="C165" t="s" s="247">
        <v>2058</v>
      </c>
      <c r="D165" s="545">
        <f>Model!J164</f>
        <v>8.171594536217018</v>
      </c>
      <c r="E165" s="547">
        <v>8.077111523176784</v>
      </c>
      <c r="F165" s="547">
        <v>8.171594536217018</v>
      </c>
    </row>
    <row r="166">
      <c r="C166" t="s" s="247">
        <v>2059</v>
      </c>
      <c r="D166" s="545">
        <f>Model!K164</f>
        <v>6.901005260320336</v>
      </c>
      <c r="E166" s="547">
        <v>6.425127299583725</v>
      </c>
      <c r="F166" s="547">
        <v>6.901005260320336</v>
      </c>
    </row>
    <row r="167">
      <c r="C167" t="s" s="247">
        <v>2060</v>
      </c>
      <c r="D167" s="545">
        <f>Model!L164</f>
        <v>5.904444632451494</v>
      </c>
      <c r="E167" s="547">
        <v>4.909376186170435</v>
      </c>
      <c r="F167" s="547">
        <v>5.904444632451494</v>
      </c>
    </row>
    <row r="168">
      <c r="C168" t="s" s="247">
        <v>2061</v>
      </c>
      <c r="D168" s="545">
        <f>Model!M164</f>
        <v>4.975506696421386</v>
      </c>
      <c r="E168" s="547">
        <v>3.578346238288606</v>
      </c>
      <c r="F168" s="547">
        <v>4.975506696421386</v>
      </c>
    </row>
    <row r="169">
      <c r="C169" t="s" s="247">
        <v>2062</v>
      </c>
      <c r="D169" s="545">
        <f>Model!N164</f>
        <v>4.15832616035263</v>
      </c>
      <c r="E169" s="547">
        <v>2.4221255143388523</v>
      </c>
      <c r="F169" s="547">
        <v>4.158326160352616</v>
      </c>
    </row>
    <row r="170">
      <c r="C170" t="s" s="247">
        <v>2063</v>
      </c>
      <c r="D170" s="545">
        <f>Model!O164</f>
        <v>3.3748906175971354</v>
      </c>
      <c r="E170" s="547">
        <v>1.4152443495015938</v>
      </c>
      <c r="F170" s="547">
        <v>3.3748906177884628</v>
      </c>
    </row>
    <row r="171">
      <c r="C171" t="s" s="247">
        <v>2064</v>
      </c>
      <c r="D171" s="545">
        <f>Model!J163</f>
        <v>7.9243497383162325</v>
      </c>
      <c r="E171" s="547">
        <v>7.821521582451686</v>
      </c>
      <c r="F171" s="547">
        <v>7.9243497383162325</v>
      </c>
    </row>
    <row r="172">
      <c r="C172" t="s" s="247">
        <v>2065</v>
      </c>
      <c r="D172" s="545">
        <f>Model!K163</f>
        <v>6.711359698993447</v>
      </c>
      <c r="E172" s="547">
        <v>6.246037072442232</v>
      </c>
      <c r="F172" s="547">
        <v>6.711359698993447</v>
      </c>
    </row>
    <row r="173">
      <c r="C173" t="s" s="247">
        <v>2066</v>
      </c>
      <c r="D173" s="545">
        <f>Model!L163</f>
        <v>5.738887808626062</v>
      </c>
      <c r="E173" s="547">
        <v>4.76485936195201</v>
      </c>
      <c r="F173" s="547">
        <v>5.738887808626062</v>
      </c>
    </row>
    <row r="174">
      <c r="C174" t="s" s="247">
        <v>2067</v>
      </c>
      <c r="D174" s="545">
        <f>Model!M163</f>
        <v>4.829642596965419</v>
      </c>
      <c r="E174" s="547">
        <v>3.460270978122764</v>
      </c>
      <c r="F174" s="547">
        <v>4.829642596965419</v>
      </c>
    </row>
    <row r="175">
      <c r="C175" t="s" s="247">
        <v>2068</v>
      </c>
      <c r="D175" s="545">
        <f>Model!N163</f>
        <v>4.027548766544521</v>
      </c>
      <c r="E175" s="547">
        <v>2.3240131749616975</v>
      </c>
      <c r="F175" s="547">
        <v>4.027548766544504</v>
      </c>
    </row>
    <row r="176">
      <c r="C176" t="s" s="247">
        <v>2069</v>
      </c>
      <c r="D176" s="545">
        <f>Model!O163</f>
        <v>3.25697134626061</v>
      </c>
      <c r="E176" s="547">
        <v>1.3316062426656325</v>
      </c>
      <c r="F176" s="547">
        <v>3.256971346927188</v>
      </c>
    </row>
    <row r="177">
      <c r="C177" t="s" s="247">
        <v>2070</v>
      </c>
      <c r="D177" s="545">
        <f>Model!J170</f>
        <v>2.0918408088826363</v>
      </c>
      <c r="E177" s="547">
        <v>2.116310375986746</v>
      </c>
      <c r="F177" s="547">
        <v>2.0918408088826363</v>
      </c>
    </row>
    <row r="178">
      <c r="C178" t="s" s="247">
        <v>2071</v>
      </c>
      <c r="D178" s="545">
        <f>Model!K170</f>
        <v>2.4211846473394085</v>
      </c>
      <c r="E178" s="547">
        <v>2.581441274805994</v>
      </c>
      <c r="F178" s="547">
        <v>2.4211846473394085</v>
      </c>
    </row>
    <row r="179">
      <c r="C179" t="s" s="247">
        <v>2072</v>
      </c>
      <c r="D179" s="545">
        <f>Model!L170</f>
        <v>2.4073823216300223</v>
      </c>
      <c r="E179" s="547">
        <v>2.842225637368559</v>
      </c>
      <c r="F179" s="547">
        <v>2.4073823216300223</v>
      </c>
    </row>
    <row r="180">
      <c r="C180" t="s" s="247">
        <v>2073</v>
      </c>
      <c r="D180" s="545">
        <f>Model!M170</f>
        <v>2.515787313432431</v>
      </c>
      <c r="E180" s="547">
        <v>3.3725697924207734</v>
      </c>
      <c r="F180" s="547">
        <v>2.515787313432431</v>
      </c>
    </row>
    <row r="181">
      <c r="C181" t="s" s="247">
        <v>2074</v>
      </c>
      <c r="D181" s="545">
        <f>Model!N170</f>
        <v>2.969965134551802</v>
      </c>
      <c r="E181" s="547">
        <v>4.740523650094693</v>
      </c>
      <c r="F181" s="547">
        <v>2.9699651345518063</v>
      </c>
    </row>
    <row r="182">
      <c r="C182" t="s" s="247">
        <v>2075</v>
      </c>
      <c r="D182" s="545">
        <f>Model!O170</f>
        <v>3.591756020416331</v>
      </c>
      <c r="E182" s="547">
        <v>7.33785261704265</v>
      </c>
      <c r="F182" s="547">
        <v>3.5917560203203203</v>
      </c>
    </row>
    <row r="183">
      <c r="C183" t="s" s="247">
        <v>2076</v>
      </c>
      <c r="D183" s="545">
        <f>Model!K177</f>
        <v>25.041255617597592</v>
      </c>
      <c r="E183" s="547">
        <v>24.75171931344359</v>
      </c>
      <c r="F183" s="547">
        <v>25.041255617597592</v>
      </c>
    </row>
    <row r="184">
      <c r="C184" t="s" s="247">
        <v>2077</v>
      </c>
      <c r="D184" s="545">
        <f>Model!L177</f>
        <v>25.041255617597592</v>
      </c>
      <c r="E184" s="547">
        <v>24.75171931344359</v>
      </c>
      <c r="F184" s="547">
        <v>25.041255617597592</v>
      </c>
    </row>
    <row r="185">
      <c r="C185" t="s" s="247">
        <v>2078</v>
      </c>
      <c r="D185" s="545">
        <f>Model!M177</f>
        <v>25.041255617597592</v>
      </c>
      <c r="E185" s="547">
        <v>24.75171931344359</v>
      </c>
      <c r="F185" s="547">
        <v>25.041255617597592</v>
      </c>
    </row>
    <row r="186">
      <c r="C186" t="s" s="247">
        <v>2079</v>
      </c>
      <c r="D186" s="545">
        <f>Model!N177</f>
        <v>25.041255617597592</v>
      </c>
      <c r="E186" s="547">
        <v>24.75171931344359</v>
      </c>
      <c r="F186" s="547">
        <v>25.041255617597592</v>
      </c>
    </row>
    <row r="187">
      <c r="C187" t="s" s="247">
        <v>2080</v>
      </c>
      <c r="D187" s="544">
        <f>Model!K176</f>
        <v>453.016663807723</v>
      </c>
      <c r="E187" s="546">
        <v>518.9707178082192</v>
      </c>
      <c r="F187" s="546">
        <v>453.016663807723</v>
      </c>
    </row>
    <row r="188">
      <c r="C188" t="s" s="247">
        <v>2081</v>
      </c>
      <c r="D188" s="544">
        <f>Model!L176</f>
        <v>514.1772394971034</v>
      </c>
      <c r="E188" s="546">
        <v>635.1880986301371</v>
      </c>
      <c r="F188" s="546">
        <v>514.1772394971034</v>
      </c>
    </row>
    <row r="189">
      <c r="C189" t="s" s="247">
        <v>2082</v>
      </c>
      <c r="D189" s="544">
        <f>Model!M176</f>
        <v>573.4936124361247</v>
      </c>
      <c r="E189" s="546">
        <v>764.4298410958905</v>
      </c>
      <c r="F189" s="546">
        <v>573.4936124361247</v>
      </c>
    </row>
    <row r="190">
      <c r="C190" t="s" s="247">
        <v>2083</v>
      </c>
      <c r="D190" s="544">
        <f>Model!N176</f>
        <v>636.0283537011794</v>
      </c>
      <c r="E190" s="546">
        <v>896.7205265100274</v>
      </c>
      <c r="F190" s="546">
        <v>636.0283537011794</v>
      </c>
    </row>
    <row r="191">
      <c r="C191" t="s" s="247">
        <v>2084</v>
      </c>
      <c r="D191" s="544">
        <f>Model!K178</f>
        <v>11344.106077440463</v>
      </c>
      <c r="E191" s="546">
        <v>12845.417539085383</v>
      </c>
      <c r="F191" s="546">
        <v>11344.106077440463</v>
      </c>
    </row>
    <row r="192">
      <c r="C192" t="s" s="247">
        <v>2085</v>
      </c>
      <c r="D192" s="544">
        <f>Model!L178</f>
        <v>12875.643686997664</v>
      </c>
      <c r="E192" s="546">
        <v>15721.997528533077</v>
      </c>
      <c r="F192" s="546">
        <v>12875.643686997664</v>
      </c>
    </row>
    <row r="193">
      <c r="C193" t="s" s="247">
        <v>2086</v>
      </c>
      <c r="D193" s="544">
        <f>Model!M178</f>
        <v>14361.000144072445</v>
      </c>
      <c r="E193" s="546">
        <v>18920.95286162577</v>
      </c>
      <c r="F193" s="546">
        <v>14361.000144072445</v>
      </c>
    </row>
    <row r="194">
      <c r="C194" t="s" s="247">
        <v>2087</v>
      </c>
      <c r="D194" s="544">
        <f>Model!N178</f>
        <v>15926.948585071008</v>
      </c>
      <c r="E194" s="546">
        <v>22195.37477477955</v>
      </c>
      <c r="F194" s="546">
        <v>15926.948585071008</v>
      </c>
    </row>
    <row r="195">
      <c r="C195" t="s" s="247">
        <v>2088</v>
      </c>
      <c r="D195" s="544">
        <f>-Model!K162</f>
        <v>-2654.1722036767824</v>
      </c>
      <c r="E195" s="546">
        <v>-2615.736145462925</v>
      </c>
      <c r="F195" s="546">
        <v>-2654.1722036767824</v>
      </c>
    </row>
    <row r="196">
      <c r="C196" t="s" s="247">
        <v>2089</v>
      </c>
      <c r="D196" s="544">
        <f>-Model!L162</f>
        <v>-2599.811809030593</v>
      </c>
      <c r="E196" s="546">
        <v>-2472.822483327448</v>
      </c>
      <c r="F196" s="546">
        <v>-2599.811809030593</v>
      </c>
    </row>
    <row r="197">
      <c r="C197" t="s" s="247">
        <v>2090</v>
      </c>
      <c r="D197" s="544">
        <f>-Model!M162</f>
        <v>-2483.292298265301</v>
      </c>
      <c r="E197" s="546">
        <v>-2197.922943338843</v>
      </c>
      <c r="F197" s="546">
        <v>-2483.292298265301</v>
      </c>
    </row>
    <row r="198">
      <c r="C198" t="s" s="247">
        <v>2091</v>
      </c>
      <c r="D198" s="544">
        <f>-Model!N162</f>
        <v>-2309.7734913882755</v>
      </c>
      <c r="E198" s="546">
        <v>-1776.5450220407263</v>
      </c>
      <c r="F198" s="546">
        <v>-2309.773491388266</v>
      </c>
    </row>
    <row r="199">
      <c r="C199" t="s" s="247">
        <v>2092</v>
      </c>
      <c r="D199" s="544">
        <f>Model!K182</f>
        <v>8616.545201991903</v>
      </c>
      <c r="E199" s="546">
        <v>10156.292721850681</v>
      </c>
      <c r="F199" s="546">
        <v>8616.545201991903</v>
      </c>
    </row>
    <row r="200">
      <c r="C200" t="s" s="247">
        <v>2093</v>
      </c>
      <c r="D200" s="544">
        <f>Model!L182</f>
        <v>10252.000870159261</v>
      </c>
      <c r="E200" s="546">
        <v>13225.34403739782</v>
      </c>
      <c r="F200" s="546">
        <v>10252.000870159261</v>
      </c>
    </row>
    <row r="201">
      <c r="C201" t="s" s="247">
        <v>2094</v>
      </c>
      <c r="D201" s="544">
        <f>Model!M182</f>
        <v>11877.707845807145</v>
      </c>
      <c r="E201" s="546">
        <v>16723.029918286928</v>
      </c>
      <c r="F201" s="546">
        <v>11877.707845807145</v>
      </c>
    </row>
    <row r="202">
      <c r="C202" t="s" s="247">
        <v>2095</v>
      </c>
      <c r="D202" s="544">
        <f>Model!N182</f>
        <v>13617.175093682732</v>
      </c>
      <c r="E202" s="546">
        <v>20418.829752738824</v>
      </c>
      <c r="F202" s="546">
        <v>13617.175093682741</v>
      </c>
    </row>
    <row r="203">
      <c r="C203" t="s" s="247">
        <v>2096</v>
      </c>
      <c r="D203" s="544">
        <f>Model!K185</f>
        <v>5737.031985790003</v>
      </c>
      <c r="E203" s="546">
        <v>5737.031985790003</v>
      </c>
      <c r="F203" s="546">
        <v>5737.031985790003</v>
      </c>
    </row>
    <row r="204">
      <c r="C204" t="s" s="247">
        <v>2097</v>
      </c>
      <c r="D204" s="544">
        <f>Model!L185</f>
        <v>5737.031985790003</v>
      </c>
      <c r="E204" s="546">
        <v>5737.031985790003</v>
      </c>
      <c r="F204" s="546">
        <v>5737.031985790003</v>
      </c>
    </row>
    <row r="205">
      <c r="C205" t="s" s="247">
        <v>2098</v>
      </c>
      <c r="D205" s="544">
        <f>Model!M185</f>
        <v>5737.031985790003</v>
      </c>
      <c r="E205" s="546">
        <v>5737.031985790003</v>
      </c>
      <c r="F205" s="546">
        <v>5737.031985790003</v>
      </c>
    </row>
    <row r="206">
      <c r="C206" t="s" s="247">
        <v>2099</v>
      </c>
      <c r="D206" s="544">
        <f>Model!N185</f>
        <v>5737.031985790003</v>
      </c>
      <c r="E206" s="546">
        <v>5737.031985790003</v>
      </c>
      <c r="F206" s="546">
        <v>5737.031985790003</v>
      </c>
    </row>
    <row r="207">
      <c r="C207" t="s" s="247">
        <v>2100</v>
      </c>
      <c r="D207" s="539">
        <f>Model!K188</f>
        <v>1.5019168837360741</v>
      </c>
      <c r="E207" s="542">
        <v>1.7703043572018948</v>
      </c>
      <c r="F207" s="542">
        <v>1.5019168837360741</v>
      </c>
    </row>
    <row r="208">
      <c r="C208" t="s" s="247">
        <v>2101</v>
      </c>
      <c r="D208" s="539">
        <f>Model!L188</f>
        <v>1.7869868767600285</v>
      </c>
      <c r="E208" s="542">
        <v>2.305258898705034</v>
      </c>
      <c r="F208" s="542">
        <v>1.7869868767600285</v>
      </c>
    </row>
    <row r="209">
      <c r="C209" t="s" s="247">
        <v>2102</v>
      </c>
      <c r="D209" s="539">
        <f>Model!M188</f>
        <v>2.0703576126517893</v>
      </c>
      <c r="E209" s="542">
        <v>2.914927084197549</v>
      </c>
      <c r="F209" s="542">
        <v>2.0703576126517893</v>
      </c>
    </row>
    <row r="210">
      <c r="C210" t="s" s="247">
        <v>2103</v>
      </c>
      <c r="D210" s="539">
        <f>Model!N188</f>
        <v>2.3735574644539157</v>
      </c>
      <c r="E210" s="542">
        <v>3.5591277516517286</v>
      </c>
      <c r="F210" s="542">
        <v>2.373557464453917</v>
      </c>
    </row>
    <row r="211">
      <c r="C211" t="s" s="247">
        <v>2104</v>
      </c>
      <c r="D211" s="538">
        <f>Model!K187</f>
        <v>0.307320965922542</v>
      </c>
      <c r="E211" s="541">
        <v>0.45688437548498184</v>
      </c>
      <c r="F211" s="541">
        <v>0.307320965922542</v>
      </c>
    </row>
    <row r="212">
      <c r="C212" t="s" s="247">
        <v>2105</v>
      </c>
      <c r="D212" s="538">
        <f>Model!L187</f>
        <v>0.2592668149868673</v>
      </c>
      <c r="E212" s="541">
        <v>0.39327396345478305</v>
      </c>
      <c r="F212" s="541">
        <v>0.2592668149868673</v>
      </c>
    </row>
    <row r="213">
      <c r="C213" t="s" s="247">
        <v>2106</v>
      </c>
      <c r="D213" s="538">
        <f>Model!M187</f>
        <v>0.22979614912512192</v>
      </c>
      <c r="E213" s="541">
        <v>0.35539648395560053</v>
      </c>
      <c r="F213" s="541">
        <v>0.22979614912512192</v>
      </c>
    </row>
    <row r="214">
      <c r="C214" t="s" s="247">
        <v>2107</v>
      </c>
      <c r="D214" s="538">
        <f>Model!N187</f>
        <v>0.21084479191093441</v>
      </c>
      <c r="E214" s="541">
        <v>0.3244351909962966</v>
      </c>
      <c r="F214" s="541">
        <v>0.21084479191093441</v>
      </c>
    </row>
    <row r="215">
      <c r="C215" t="s" s="247">
        <v>2108</v>
      </c>
      <c r="D215" s="544">
        <f>Model!I208</f>
        <v>5737.031985790003</v>
      </c>
      <c r="E215" s="546">
        <v>5737.031985790003</v>
      </c>
      <c r="F215" s="546">
        <v>5737.031985790003</v>
      </c>
    </row>
    <row r="216">
      <c r="C216" t="s" s="247">
        <v>2109</v>
      </c>
      <c r="D216" s="544">
        <f>Model!I209</f>
        <v>7545.1896503010075</v>
      </c>
      <c r="E216" s="546">
        <v>13813.615840009552</v>
      </c>
      <c r="F216" s="546">
        <v>7545.1896503010075</v>
      </c>
    </row>
    <row r="217">
      <c r="C217" t="s" s="247">
        <v>2110</v>
      </c>
      <c r="D217" s="544">
        <f>Model!I210</f>
        <v>0</v>
      </c>
      <c r="E217" s="546">
        <v>0</v>
      </c>
      <c r="F217" s="546">
        <v>0</v>
      </c>
    </row>
    <row r="218">
      <c r="C218" t="s" s="247">
        <v>2111</v>
      </c>
      <c r="D218" s="544">
        <f>Model!I211</f>
        <v>315.2265086117245</v>
      </c>
      <c r="E218" s="546">
        <v>848.4549779592737</v>
      </c>
      <c r="F218" s="546">
        <v>315.22650861173406</v>
      </c>
    </row>
    <row r="219">
      <c r="C219" t="s" s="247">
        <v>2335</v>
      </c>
      <c r="D219" s="544">
        <f>Model!I212+Model!I213</f>
        <v>19.72694897999861</v>
      </c>
      <c r="E219" s="546">
        <v>19.72694897999861</v>
      </c>
      <c r="F219" s="546">
        <v>19.72694897999861</v>
      </c>
    </row>
    <row r="220">
      <c r="C220" t="s" s="247">
        <v>2113</v>
      </c>
      <c r="D220" s="544">
        <f>Model!I214</f>
        <v>13617.175093682732</v>
      </c>
      <c r="E220" s="546">
        <v>20418.829752738828</v>
      </c>
      <c r="F220" s="546">
        <v>13617.175093682741</v>
      </c>
    </row>
    <row r="221">
      <c r="C221" t="s" s="247">
        <v>1862</v>
      </c>
      <c r="D221" s="538">
        <f>Model!I204</f>
        <v>0.21071793437004088</v>
      </c>
      <c r="E221" s="541">
        <v>0.32423140406608586</v>
      </c>
      <c r="F221" s="541">
        <v>0.21071793437004088</v>
      </c>
    </row>
    <row r="222">
      <c r="C222" t="s" s="247">
        <v>1863</v>
      </c>
      <c r="D222" s="539">
        <f>Model!I205</f>
        <v>2.3735574644539157</v>
      </c>
      <c r="E222" s="542">
        <v>3.5591277516517286</v>
      </c>
      <c r="F222" s="542">
        <v>2.373557464453917</v>
      </c>
    </row>
    <row r="223">
      <c r="C223" t="s" s="247">
        <v>2114</v>
      </c>
      <c r="D223" s="545">
        <f>Model!U26</f>
        <v>25.041255617597592</v>
      </c>
      <c r="E223" s="547">
        <v>24.75171931344359</v>
      </c>
      <c r="F223" s="547">
        <v>25.041255617597592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2:U242"/>
  <sheetViews>
    <sheetView showGridLines="0" workbookViewId="0">
      <selection activeCell="A1" sqref="A1"/>
    </sheetView>
  </sheetViews>
  <sheetFormatPr defaultColWidth="9.19921875" defaultRowHeight="13.5" customHeight="1"/>
  <cols>
    <col min="1" max="1" width="3.53125" customWidth="1" style="257"/>
    <col min="2" max="2" width="1.33203125" customWidth="1" style="257"/>
    <col min="3" max="3" width="51.359375" customWidth="1" style="257"/>
    <col min="4" max="4" width="11.7890625" customWidth="1" style="257"/>
    <col min="5" max="17" width="17.50390625" customWidth="1" style="257"/>
    <col min="18" max="19" width="11.7890625" customWidth="1" style="257"/>
    <col min="20" max="20" width="11.7890625" customWidth="1" bestFit="1" style="257"/>
    <col min="21" max="21" width="15.21875" customWidth="1" style="257"/>
    <col min="22" max="22" width="4.19921875" customWidth="1" style="257"/>
    <col min="23" max="23" width="3.06640625" customWidth="1" style="257"/>
    <col min="24" max="24" width="9.46484375" customWidth="1" bestFit="1" style="257"/>
    <col min="25" max="38" width="9.19921875" customWidth="0" style="257"/>
    <col min="39" max="39" width="3.06640625" customWidth="1" style="257"/>
    <col min="40" max="121" width="9.19921875" customWidth="0" style="257"/>
  </cols>
  <sheetData>
    <row r="1" ht="13.5" customHeight="1"/>
    <row r="2" ht="13.5" customHeight="1">
      <c r="C2" t="s" s="256">
        <v>1353</v>
      </c>
    </row>
    <row r="3" ht="13.5" customHeight="1">
      <c r="A3" s="257"/>
      <c r="C3" t="s" s="468">
        <v>1354</v>
      </c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72"/>
      <c r="O3" s="472"/>
      <c r="Q3" t="s" s="468">
        <v>1987</v>
      </c>
      <c r="R3" s="469"/>
      <c r="S3" s="469"/>
      <c r="T3" s="469"/>
      <c r="U3" s="469"/>
    </row>
    <row r="4" ht="13.5" customHeight="1">
      <c r="C4" t="s" s="247">
        <v>811</v>
      </c>
      <c r="E4" s="335">
        <v>46198</v>
      </c>
      <c r="G4" t="s" s="247">
        <v>2307</v>
      </c>
      <c r="I4" s="685">
        <v>124.142631</v>
      </c>
      <c r="K4" t="s" s="247">
        <v>1899</v>
      </c>
      <c r="M4" s="684">
        <v>0</v>
      </c>
      <c r="Q4" t="s" s="247">
        <v>1737</v>
      </c>
      <c r="U4" s="339">
        <v>288.632333</v>
      </c>
    </row>
    <row r="5" ht="13.5" customHeight="1">
      <c r="C5" t="s" s="247">
        <v>1721</v>
      </c>
      <c r="E5" s="336">
        <v>24.55</v>
      </c>
      <c r="G5" t="s" s="247">
        <v>1895</v>
      </c>
      <c r="I5" s="330">
        <v>0.02</v>
      </c>
      <c r="K5" t="s" s="247">
        <v>1723</v>
      </c>
      <c r="M5" s="330">
        <v>0.2</v>
      </c>
      <c r="Q5" t="s" s="247">
        <v>1738</v>
      </c>
      <c r="U5" s="339">
        <v>4.506422</v>
      </c>
    </row>
    <row r="6" ht="13.5" customHeight="1">
      <c r="C6" t="s" s="247">
        <v>1724</v>
      </c>
      <c r="E6" s="336">
        <v>16.69</v>
      </c>
      <c r="G6" t="s" s="247">
        <v>1011</v>
      </c>
      <c r="I6" s="338">
        <v>75</v>
      </c>
      <c r="K6" t="s" s="247">
        <v>1725</v>
      </c>
      <c r="M6" s="330">
        <v>0.225</v>
      </c>
      <c r="Q6" t="s" s="247">
        <v>1023</v>
      </c>
      <c r="U6" s="339">
        <v>8.547355</v>
      </c>
    </row>
    <row r="7" ht="13.5" customHeight="1">
      <c r="C7" t="s" s="247">
        <v>1726</v>
      </c>
      <c r="E7" s="307">
        <f>E5/E6-1</f>
        <v>0.4709406830437386</v>
      </c>
      <c r="G7" t="s" s="247">
        <v>1727</v>
      </c>
      <c r="I7" s="330">
        <v>0.25</v>
      </c>
      <c r="K7" t="s" s="247">
        <v>1728</v>
      </c>
      <c r="M7" s="330">
        <v>0.25</v>
      </c>
      <c r="Q7" t="s" s="247">
        <v>1739</v>
      </c>
      <c r="U7" s="339">
        <v>3.984521</v>
      </c>
    </row>
    <row r="8" ht="13.5" customHeight="1">
      <c r="C8" t="s" s="247">
        <v>1917</v>
      </c>
      <c r="E8" s="594">
        <v>0</v>
      </c>
      <c r="G8" t="s" s="247">
        <v>1730</v>
      </c>
      <c r="I8" s="330">
        <v>0.8</v>
      </c>
      <c r="K8" t="s" s="247">
        <v>1731</v>
      </c>
      <c r="M8" s="680">
        <f>Sensitivities!$F$9</f>
        <v>47848</v>
      </c>
      <c r="Q8" t="s" s="247">
        <v>1740</v>
      </c>
      <c r="U8" s="339">
        <v>7.590682</v>
      </c>
    </row>
    <row r="9" s="244" customFormat="1" ht="13.5" customHeight="1">
      <c r="C9" t="s" s="247">
        <v>1732</v>
      </c>
      <c r="E9" s="337">
        <v>1</v>
      </c>
      <c r="G9" t="s" s="247">
        <v>1733</v>
      </c>
      <c r="I9" s="330">
        <v>0.3</v>
      </c>
      <c r="K9" t="s" s="247">
        <v>1734</v>
      </c>
      <c r="M9" s="330">
        <v>1</v>
      </c>
      <c r="Q9" t="s" s="247">
        <v>1026</v>
      </c>
      <c r="U9" s="336">
        <v>9.09</v>
      </c>
    </row>
    <row r="10" s="244" customFormat="1" ht="13.5" customHeight="1">
      <c r="A10" s="244"/>
      <c r="B10" s="244"/>
      <c r="C10" t="s" s="247">
        <v>2285</v>
      </c>
      <c r="D10" s="244"/>
      <c r="E10" s="687">
        <v>0.753144</v>
      </c>
      <c r="F10" s="244"/>
      <c r="G10" t="s" s="247">
        <v>2308</v>
      </c>
      <c r="H10" s="244"/>
      <c r="I10" s="689">
        <f>EDATE(E4,M10)</f>
        <v>47294</v>
      </c>
      <c r="J10" s="244"/>
      <c r="K10" t="s" s="247">
        <v>2314</v>
      </c>
      <c r="L10" s="244"/>
      <c r="M10" s="691">
        <v>36</v>
      </c>
      <c r="N10" s="244"/>
      <c r="O10" s="244"/>
      <c r="P10" s="244"/>
      <c r="Q10" t="s" s="247">
        <v>2327</v>
      </c>
      <c r="R10" s="244"/>
      <c r="S10" s="244"/>
      <c r="T10" s="244"/>
      <c r="U10" s="693">
        <v>16.7</v>
      </c>
    </row>
    <row r="11" s="244" customFormat="1" ht="13.5" customHeight="1">
      <c r="A11" s="244"/>
      <c r="B11" s="244"/>
      <c r="C11" t="s" s="247">
        <v>2286</v>
      </c>
      <c r="D11" s="244"/>
      <c r="E11" s="687">
        <v>0.786876</v>
      </c>
      <c r="F11" s="244"/>
      <c r="G11" t="s" s="247">
        <v>2309</v>
      </c>
      <c r="H11" s="244"/>
      <c r="I11" s="690">
        <v>0</v>
      </c>
      <c r="J11" s="244"/>
      <c r="K11" t="s" s="247">
        <v>2315</v>
      </c>
      <c r="L11" s="244"/>
      <c r="M11" s="687">
        <v>0</v>
      </c>
      <c r="N11" s="244"/>
      <c r="O11" s="244"/>
      <c r="P11" s="244"/>
      <c r="Q11" t="s" s="247">
        <v>2328</v>
      </c>
      <c r="R11" s="244"/>
      <c r="S11" s="244"/>
      <c r="T11" s="244"/>
      <c r="U11" s="694">
        <f>U10/E5</f>
        <v>0.680244399185336</v>
      </c>
    </row>
    <row r="12" s="244" customFormat="1" ht="13.5" customHeight="1">
      <c r="C12" t="s" s="247">
        <v>1012</v>
      </c>
      <c r="E12" s="338">
        <v>0</v>
      </c>
      <c r="G12" t="s" s="247">
        <v>1735</v>
      </c>
      <c r="I12" s="338">
        <v>702.3</v>
      </c>
      <c r="K12" t="s" s="247">
        <v>1736</v>
      </c>
      <c r="M12" s="335">
        <v>46752</v>
      </c>
      <c r="Q12" t="s" s="247">
        <v>1741</v>
      </c>
      <c r="U12" s="308">
        <f>U8*MAX(0,1-U9/U24)</f>
        <v>4.780119907128309</v>
      </c>
    </row>
    <row r="13" s="244" customFormat="1" ht="13.5" customHeight="1">
      <c r="C13" t="s" s="523">
        <v>1984</v>
      </c>
      <c r="E13" s="683">
        <v>0</v>
      </c>
      <c r="G13" t="s" s="523">
        <v>1985</v>
      </c>
      <c r="I13" s="683">
        <v>0</v>
      </c>
      <c r="K13" t="s" s="523">
        <v>1986</v>
      </c>
      <c r="M13" s="682">
        <v>0</v>
      </c>
      <c r="Q13" t="s" s="247">
        <v>1742</v>
      </c>
      <c r="U13" s="308">
        <f>SUM(U4:U7)+U11+U12</f>
        <v>311.1309953063136</v>
      </c>
    </row>
    <row r="14" s="244" customFormat="1" ht="13.5" customHeight="1">
      <c r="A14" s="244"/>
      <c r="C14" t="s" s="468">
        <v>1374</v>
      </c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72"/>
      <c r="O14" s="472"/>
      <c r="Q14" t="s" s="483">
        <v>1095</v>
      </c>
      <c r="R14" s="483"/>
      <c r="S14" s="483"/>
      <c r="T14" s="483"/>
      <c r="U14" s="481">
        <f>U24*U13</f>
        <v>7638.265934769999</v>
      </c>
    </row>
    <row r="15" s="244" customFormat="1" ht="24" customHeight="1">
      <c r="D15" t="s" s="313">
        <v>1375</v>
      </c>
      <c r="E15" t="s" s="313">
        <v>1376</v>
      </c>
      <c r="F15" t="s" s="313">
        <v>1752</v>
      </c>
      <c r="G15" t="s" s="313">
        <v>1753</v>
      </c>
      <c r="H15" t="s" s="313">
        <v>1754</v>
      </c>
      <c r="I15" t="s" s="313">
        <v>1380</v>
      </c>
      <c r="J15" t="s" s="313">
        <v>1381</v>
      </c>
      <c r="K15" t="s" s="313">
        <v>1755</v>
      </c>
      <c r="L15" t="s" s="313">
        <v>1383</v>
      </c>
      <c r="M15" t="s" s="313">
        <v>1384</v>
      </c>
      <c r="Q15" t="s" s="247">
        <v>1743</v>
      </c>
      <c r="U15" s="338">
        <v>8</v>
      </c>
    </row>
    <row r="16" s="244" customFormat="1" ht="13.5" customHeight="1">
      <c r="C16" t="s" s="262">
        <v>1101</v>
      </c>
      <c r="D16" s="340">
        <v>0.005</v>
      </c>
      <c r="E16" s="341">
        <v>325</v>
      </c>
      <c r="F16" s="341">
        <v>0</v>
      </c>
      <c r="G16" s="314">
        <f>F16/$U$20</f>
        <v>0</v>
      </c>
      <c r="H16" s="340">
        <v>0.045</v>
      </c>
      <c r="I16" s="340">
        <v>0.005</v>
      </c>
      <c r="J16" s="342">
        <v>0</v>
      </c>
      <c r="K16" s="343">
        <v>7</v>
      </c>
      <c r="M16" s="317">
        <v>0</v>
      </c>
      <c r="Q16" t="s" s="247">
        <v>1744</v>
      </c>
      <c r="U16" s="338">
        <v>817</v>
      </c>
    </row>
    <row r="17" s="244" customFormat="1" ht="13.5" customHeight="1">
      <c r="C17" t="s" s="257">
        <v>844</v>
      </c>
      <c r="E17" s="341">
        <v>2700</v>
      </c>
      <c r="F17" s="315">
        <f>E17+Sensitivities!$F$10*U20</f>
        <v>2700</v>
      </c>
      <c r="G17" s="314">
        <f>F17/$U$20</f>
        <v>9.624124472009838</v>
      </c>
      <c r="H17" s="340">
        <v>0.045</v>
      </c>
      <c r="I17" s="340">
        <v>0.005</v>
      </c>
      <c r="J17" s="342">
        <v>0</v>
      </c>
      <c r="K17" s="343">
        <v>7</v>
      </c>
      <c r="L17" s="316">
        <f>I5</f>
        <v>0.02</v>
      </c>
      <c r="M17" s="318">
        <f>L17*F17</f>
        <v>54</v>
      </c>
      <c r="Q17" t="s" s="247">
        <v>1745</v>
      </c>
      <c r="U17" s="311">
        <f>-'Balance Sheet'!G6</f>
        <v>-81.507</v>
      </c>
    </row>
    <row r="18" ht="13.5" customHeight="1">
      <c r="C18" t="s" s="257">
        <v>1896</v>
      </c>
      <c r="D18" s="340">
        <v>0.01</v>
      </c>
      <c r="E18" s="341">
        <v>500</v>
      </c>
      <c r="F18" s="341">
        <v>0</v>
      </c>
      <c r="G18" s="314">
        <f>F18/$U$20</f>
        <v>0</v>
      </c>
      <c r="H18" s="340">
        <v>0.045</v>
      </c>
      <c r="I18" s="340">
        <v>0.005</v>
      </c>
      <c r="J18" s="342">
        <v>0</v>
      </c>
      <c r="K18" s="343">
        <v>7</v>
      </c>
      <c r="M18" s="317">
        <v>0</v>
      </c>
      <c r="Q18" t="s" s="483">
        <v>1746</v>
      </c>
      <c r="R18" s="483"/>
      <c r="S18" s="483"/>
      <c r="T18" s="483"/>
      <c r="U18" s="481">
        <f>SUM(U14:U17)</f>
        <v>8381.75893477</v>
      </c>
    </row>
    <row r="19" s="247" customFormat="1" ht="13.05" customHeight="1">
      <c r="C19" t="s" s="475">
        <v>37</v>
      </c>
      <c r="D19" s="476"/>
      <c r="E19" s="477">
        <f>SUM(E16:E18)</f>
        <v>3525</v>
      </c>
      <c r="F19" s="477">
        <f>SUM(F16:F18)</f>
        <v>2700</v>
      </c>
      <c r="G19" s="478">
        <f>F19/$U$20</f>
        <v>9.624124472009838</v>
      </c>
      <c r="H19" s="479"/>
      <c r="I19" s="479"/>
      <c r="J19" s="479"/>
      <c r="K19" s="479"/>
      <c r="L19" s="479"/>
      <c r="M19" s="477">
        <f>SUM(M16:M18)</f>
        <v>54</v>
      </c>
      <c r="Q19" t="s" s="247">
        <v>1747</v>
      </c>
      <c r="U19" s="311">
        <f>'Income Statement'!I6</f>
        <v>825.732</v>
      </c>
    </row>
    <row r="20" s="247" customFormat="1" ht="11.65">
      <c r="Q20" t="s" s="247">
        <v>1904</v>
      </c>
      <c r="U20" s="311">
        <f>'Income Statement'!I32</f>
        <v>280.545</v>
      </c>
    </row>
    <row r="21" s="247" customFormat="1" ht="11.65">
      <c r="C21" t="s" s="247">
        <v>1756</v>
      </c>
      <c r="E21" s="323">
        <f>E22-E23</f>
        <v>0.0353</v>
      </c>
      <c r="G21" t="s" s="247">
        <v>1757</v>
      </c>
      <c r="I21" s="330">
        <v>0.5</v>
      </c>
      <c r="K21" t="s" s="247">
        <v>1758</v>
      </c>
      <c r="M21" s="346">
        <v>0.00125</v>
      </c>
      <c r="Q21" t="s" s="247">
        <v>1905</v>
      </c>
      <c r="U21" s="312">
        <f>U18/U20</f>
        <v>29.87670047503965</v>
      </c>
    </row>
    <row r="22" s="247" customFormat="1" ht="11.65">
      <c r="C22" t="s" s="247">
        <v>1759</v>
      </c>
      <c r="E22" s="344">
        <v>0.0578</v>
      </c>
      <c r="G22" t="s" s="247">
        <v>1760</v>
      </c>
      <c r="I22" s="344">
        <v>0.0025</v>
      </c>
      <c r="K22" t="s" s="247">
        <v>1076</v>
      </c>
      <c r="M22" s="345">
        <v>7.5</v>
      </c>
      <c r="Q22" t="s" s="247">
        <v>1918</v>
      </c>
      <c r="U22" s="312">
        <f>U18/J57</f>
        <v>25.041255617597592</v>
      </c>
    </row>
    <row r="23" s="247" customFormat="1" ht="11.65">
      <c r="C23" t="s" s="247">
        <v>1761</v>
      </c>
      <c r="E23" s="344">
        <v>0.0225</v>
      </c>
      <c r="G23" t="s" s="247">
        <v>1762</v>
      </c>
      <c r="I23" s="337">
        <v>1</v>
      </c>
      <c r="K23" t="s" s="247">
        <v>1077</v>
      </c>
      <c r="M23" s="345">
        <v>7</v>
      </c>
      <c r="Q23" t="s" s="247">
        <v>1751</v>
      </c>
      <c r="U23" s="312">
        <f>U18/U19</f>
        <v>10.150701359242467</v>
      </c>
    </row>
    <row r="24" s="247" customFormat="1" ht="11.65">
      <c r="C24" t="s" s="247">
        <v>1763</v>
      </c>
      <c r="E24" s="344">
        <v>0.0025</v>
      </c>
      <c r="G24" t="s" s="247">
        <v>1067</v>
      </c>
      <c r="I24" s="324">
        <f>EDATE(E4,24)</f>
        <v>46929</v>
      </c>
      <c r="K24" t="s" s="247">
        <v>1764</v>
      </c>
      <c r="M24" s="344">
        <v>0.005</v>
      </c>
      <c r="Q24" t="s" s="247">
        <v>1901</v>
      </c>
      <c r="U24" s="421">
        <f>Sensitivities!$F$7+M4+M13*U27/SUM(U4:U8)</f>
        <v>24.55</v>
      </c>
    </row>
    <row r="25" ht="13.5" customHeight="1">
      <c r="C25" t="s" s="247">
        <v>1063</v>
      </c>
      <c r="E25" s="345">
        <v>7.5</v>
      </c>
      <c r="G25" t="s" s="247">
        <v>1069</v>
      </c>
      <c r="I25" s="324">
        <f>EDATE(E4,30)</f>
        <v>47112</v>
      </c>
      <c r="K25" t="s" s="247">
        <v>1765</v>
      </c>
      <c r="M25" s="344">
        <v>0.01</v>
      </c>
      <c r="Q25" t="s" s="247">
        <v>1919</v>
      </c>
      <c r="U25" s="422">
        <f>(E5*(SUM(U4:U7)+U11+U8*MAX(0,1-U9/E5))+U15+U16+U17)/U27</f>
        <v>25.041255617597592</v>
      </c>
    </row>
    <row r="26" ht="13.5" customHeight="1">
      <c r="C26" t="s" s="247">
        <v>1766</v>
      </c>
      <c r="E26" s="338">
        <v>81.25</v>
      </c>
      <c r="G26" t="s" s="247">
        <v>1767</v>
      </c>
      <c r="I26" s="323">
        <f>E21+Sensitivities!$F$14/10000</f>
        <v>0.0353</v>
      </c>
      <c r="K26" t="s" s="247">
        <v>1070</v>
      </c>
      <c r="M26" s="337">
        <v>90</v>
      </c>
      <c r="Q26" t="s" s="247">
        <v>1920</v>
      </c>
      <c r="U26" s="422">
        <f>U25+E8+Sensitivities!$F$8</f>
        <v>25.041255617597592</v>
      </c>
    </row>
    <row r="27" ht="13.5" customHeight="1">
      <c r="Q27" t="s" s="257">
        <v>2004</v>
      </c>
      <c r="U27" s="536">
        <f>I55*(1+'Driver Assumptions'!F8)*'Driver Assumptions'!F14</f>
        <v>334.71799748251317</v>
      </c>
    </row>
    <row r="28" s="247" customFormat="1" ht="11.65">
      <c r="A28" s="247"/>
      <c r="C28" t="s" s="468">
        <v>1100</v>
      </c>
      <c r="D28" s="469"/>
      <c r="E28" s="469"/>
      <c r="G28" t="s" s="468">
        <v>1094</v>
      </c>
      <c r="H28" s="469"/>
      <c r="I28" s="469"/>
      <c r="K28" t="s" s="468">
        <v>1768</v>
      </c>
      <c r="L28" s="469"/>
      <c r="M28" s="469"/>
      <c r="N28" s="469"/>
      <c r="O28" s="474"/>
      <c r="Q28" t="s" s="695">
        <v>2347</v>
      </c>
      <c r="R28" s="696"/>
      <c r="S28" s="696"/>
      <c r="T28" s="696"/>
      <c r="U28" s="696"/>
    </row>
    <row r="29" s="256" customFormat="1" ht="13.5" customHeight="1">
      <c r="C29" t="s" s="247">
        <v>1101</v>
      </c>
      <c r="E29" s="325">
        <f>F16</f>
        <v>0</v>
      </c>
      <c r="G29" t="s" s="247">
        <v>2310</v>
      </c>
      <c r="I29" s="325">
        <f>F48</f>
        <v>7440.396354790001</v>
      </c>
      <c r="L29" t="s" s="326">
        <v>1376</v>
      </c>
      <c r="M29" t="s" s="326">
        <v>1773</v>
      </c>
      <c r="N29" t="s" s="326">
        <v>1774</v>
      </c>
      <c r="Q29" t="s" s="255">
        <v>2348</v>
      </c>
      <c r="R29" s="427"/>
      <c r="S29" s="427"/>
      <c r="T29" s="427"/>
      <c r="U29" s="686">
        <f>O45+O46</f>
        <v>298.488291</v>
      </c>
    </row>
    <row r="30" ht="13.5" customHeight="1">
      <c r="C30" t="s" s="247">
        <v>844</v>
      </c>
      <c r="E30" s="325">
        <f>F17</f>
        <v>2700</v>
      </c>
      <c r="G30" t="s" s="247">
        <v>1096</v>
      </c>
      <c r="I30" s="325">
        <f>U15+U16</f>
        <v>825</v>
      </c>
      <c r="K30" t="s" s="247">
        <v>1103</v>
      </c>
      <c r="L30" s="338">
        <v>2577.484901</v>
      </c>
      <c r="M30" s="327">
        <f>L30/$L$34</f>
        <v>0.4364941714226907</v>
      </c>
      <c r="N30" s="325">
        <f>M30*$E$34</f>
        <v>2504.181023062881</v>
      </c>
      <c r="Q30" t="s" s="427">
        <v>2344</v>
      </c>
      <c r="R30" s="427"/>
      <c r="S30" s="427"/>
      <c r="T30" s="427"/>
      <c r="U30" s="686">
        <f>U29-U4-U5</f>
        <v>5.349535999999987</v>
      </c>
    </row>
    <row r="31" ht="13.5" customHeight="1">
      <c r="C31" t="s" s="247">
        <v>1896</v>
      </c>
      <c r="E31" s="325">
        <f>F18</f>
        <v>0</v>
      </c>
      <c r="G31" t="s" s="247">
        <v>1011</v>
      </c>
      <c r="I31" s="681">
        <f>Sensitivities!$F$19</f>
        <v>75</v>
      </c>
      <c r="K31" t="s" s="247">
        <v>1104</v>
      </c>
      <c r="L31" s="338">
        <v>1827.484901</v>
      </c>
      <c r="M31" s="327">
        <f>L31/$L$34</f>
        <v>0.30948251426807216</v>
      </c>
      <c r="N31" s="325">
        <f>M31*$E$34</f>
        <v>1775.511083398641</v>
      </c>
      <c r="Q31" t="s" s="427">
        <v>2349</v>
      </c>
      <c r="R31" s="427"/>
      <c r="S31" s="427"/>
      <c r="T31" s="427"/>
      <c r="U31" s="692">
        <v>0.339891</v>
      </c>
    </row>
    <row r="32" s="256" customFormat="1" ht="13.5" customHeight="1">
      <c r="C32" t="s" s="247">
        <v>1769</v>
      </c>
      <c r="E32" s="325">
        <f>-U17</f>
        <v>81.507</v>
      </c>
      <c r="G32" t="s" s="247">
        <v>2311</v>
      </c>
      <c r="I32" s="681">
        <f>Sensitivities!$F$18</f>
        <v>124.142631</v>
      </c>
      <c r="K32" t="s" s="247">
        <v>1105</v>
      </c>
      <c r="L32" s="338">
        <v>750</v>
      </c>
      <c r="M32" s="327">
        <f>L32/$L$34</f>
        <v>0.1270116571546186</v>
      </c>
      <c r="N32" s="325">
        <f>M32*$E$34</f>
        <v>728.6699396642406</v>
      </c>
      <c r="Q32" t="s" s="427">
        <v>2350</v>
      </c>
      <c r="R32" s="427"/>
      <c r="S32" s="427"/>
      <c r="T32" s="427"/>
      <c r="U32" s="724">
        <v>5.77</v>
      </c>
    </row>
    <row r="33" ht="13.5" customHeight="1">
      <c r="C33" t="s" s="247">
        <v>1012</v>
      </c>
      <c r="E33" s="325">
        <f>E12</f>
        <v>0</v>
      </c>
      <c r="G33" t="s" s="247">
        <v>1772</v>
      </c>
      <c r="I33" s="325">
        <f>M19</f>
        <v>54</v>
      </c>
      <c r="K33" t="s" s="247">
        <v>1106</v>
      </c>
      <c r="L33" s="338">
        <v>750</v>
      </c>
      <c r="M33" s="327">
        <f>L33/$L$34</f>
        <v>0.1270116571546186</v>
      </c>
      <c r="N33" s="325">
        <f>M33*$E$34</f>
        <v>728.6699396642406</v>
      </c>
      <c r="Q33" t="s" s="427">
        <v>2351</v>
      </c>
      <c r="R33" s="427"/>
      <c r="S33" s="427"/>
      <c r="T33" s="427"/>
      <c r="U33" s="686">
        <f>U8-U31</f>
        <v>7.250791</v>
      </c>
    </row>
    <row r="34" s="256" customFormat="1" ht="13.5" customHeight="1">
      <c r="C34" t="s" s="247">
        <v>1770</v>
      </c>
      <c r="E34" s="325">
        <f>I35-SUM(E29:E33)</f>
        <v>5737.031985790003</v>
      </c>
      <c r="K34" t="s" s="480">
        <v>37</v>
      </c>
      <c r="L34" s="481">
        <f>SUM(L30:L33)</f>
        <v>5904.969802</v>
      </c>
      <c r="M34" s="482">
        <f>SUM(M30:M33)</f>
        <v>1</v>
      </c>
      <c r="N34" s="481">
        <f>SUM(N30:N33)</f>
        <v>5737.031985790003</v>
      </c>
      <c r="Q34" t="s" s="427">
        <v>2352</v>
      </c>
      <c r="R34" s="427"/>
      <c r="S34" s="427"/>
      <c r="T34" s="427"/>
      <c r="U34" s="686">
        <f>MAX(0,U33-(U8*U9-U31*U32)/U24)</f>
        <v>4.520113675763748</v>
      </c>
    </row>
    <row r="35" ht="13.5" customHeight="1">
      <c r="C35" t="s" s="480">
        <v>1391</v>
      </c>
      <c r="D35" s="476"/>
      <c r="E35" s="481">
        <f>SUM(E29:E34)</f>
        <v>8518.538985790003</v>
      </c>
      <c r="G35" t="s" s="480">
        <v>1392</v>
      </c>
      <c r="H35" s="476"/>
      <c r="I35" s="481">
        <f>SUM(I29:I33)</f>
        <v>8518.538985790003</v>
      </c>
      <c r="K35" t="s" s="247">
        <v>1775</v>
      </c>
      <c r="N35" s="325">
        <f>L34-N34</f>
        <v>167.93781620999653</v>
      </c>
      <c r="Q35" t="s" s="427">
        <v>2353</v>
      </c>
      <c r="R35" s="427"/>
      <c r="S35" s="427"/>
      <c r="T35" s="427"/>
      <c r="U35" s="686">
        <f>U13-U29-U34-E43-E44-U7-U11</f>
        <v>3.3950952924643016</v>
      </c>
    </row>
    <row r="36" s="256" customFormat="1" ht="13.5" customHeight="1">
      <c r="K36" t="s" s="247">
        <v>1776</v>
      </c>
      <c r="N36" s="327">
        <f>(E34+E33)/(E34+E33+E29+E30+E31)</f>
        <v>0.6799822491431287</v>
      </c>
      <c r="Q36" t="s" s="427">
        <v>2354</v>
      </c>
      <c r="R36" s="427"/>
      <c r="S36" s="427"/>
      <c r="T36" s="427"/>
      <c r="U36" s="686">
        <f>U6-E43-E44-U35</f>
        <v>5.089529768635495</v>
      </c>
    </row>
    <row r="37" ht="13.5" customHeight="1">
      <c r="K37" t="s" s="247">
        <v>1112</v>
      </c>
      <c r="N37" s="332">
        <v>5700</v>
      </c>
      <c r="Q37" t="s" s="427">
        <v>2355</v>
      </c>
      <c r="R37" s="427"/>
      <c r="S37" s="427"/>
      <c r="T37" s="427"/>
      <c r="U37" s="692">
        <v>4.76651</v>
      </c>
    </row>
    <row r="38" ht="13.5" customHeight="1">
      <c r="K38" s="247"/>
      <c r="N38" s="332"/>
    </row>
    <row r="39" ht="13.5" customHeight="1">
      <c r="A39" s="257"/>
      <c r="B39" s="257"/>
      <c r="C39" t="s" s="695">
        <v>2287</v>
      </c>
      <c r="D39" s="696"/>
      <c r="E39" s="696"/>
      <c r="F39" s="696"/>
      <c r="G39" s="696"/>
      <c r="H39" s="696"/>
      <c r="I39" s="696"/>
      <c r="J39" s="696"/>
      <c r="K39" s="696"/>
      <c r="L39" s="696"/>
      <c r="M39" s="696"/>
      <c r="N39" s="696"/>
      <c r="O39" s="696"/>
      <c r="P39" s="696"/>
      <c r="Q39" s="696"/>
      <c r="R39" s="257"/>
      <c r="S39" s="257"/>
      <c r="T39" s="257"/>
      <c r="U39" s="257"/>
    </row>
    <row r="40" ht="13.5" customHeight="1">
      <c r="A40" s="256"/>
      <c r="B40" s="256"/>
      <c r="C40" s="579"/>
      <c r="D40" s="699"/>
      <c r="E40" t="s" s="698">
        <v>2305</v>
      </c>
      <c r="F40" t="s" s="701">
        <v>2306</v>
      </c>
      <c r="G40" t="s" s="702">
        <v>2312</v>
      </c>
      <c r="H40" t="s" s="701">
        <v>2313</v>
      </c>
      <c r="I40" s="697"/>
      <c r="J40" s="256"/>
      <c r="K40" t="s" s="699">
        <v>2316</v>
      </c>
      <c r="L40" s="700"/>
      <c r="M40" s="700"/>
      <c r="N40" s="700"/>
      <c r="O40" t="s" s="701">
        <v>2325</v>
      </c>
      <c r="P40" t="s" s="701">
        <v>2326</v>
      </c>
      <c r="Q40" t="s" s="701">
        <v>473</v>
      </c>
      <c r="R40" s="256"/>
      <c r="S40" s="256"/>
      <c r="T40" s="256"/>
      <c r="U40" s="256"/>
    </row>
    <row r="41" ht="13.5" customHeight="1">
      <c r="A41" s="256"/>
      <c r="B41" s="256"/>
      <c r="C41" t="s" s="247">
        <v>2338</v>
      </c>
      <c r="D41" s="257"/>
      <c r="E41" s="694">
        <f>U29</f>
        <v>298.488291</v>
      </c>
      <c r="F41" s="703">
        <f>E41*$U$24</f>
        <v>7327.8875440500005</v>
      </c>
      <c r="G41" s="688">
        <f>0</f>
        <v>0</v>
      </c>
      <c r="H41" s="703">
        <f>F41+G41</f>
        <v>7327.8875440500005</v>
      </c>
      <c r="I41" s="697"/>
      <c r="J41" s="257"/>
      <c r="K41" t="s" s="257">
        <v>2317</v>
      </c>
      <c r="L41" s="326"/>
      <c r="M41" s="326"/>
      <c r="N41" s="326"/>
      <c r="O41" s="703">
        <f>F48</f>
        <v>7440.396354790001</v>
      </c>
      <c r="P41" s="704">
        <v>7400</v>
      </c>
      <c r="Q41" s="703">
        <f>O41-P41</f>
        <v>40.39635479000117</v>
      </c>
      <c r="R41" s="256"/>
      <c r="S41" s="256"/>
      <c r="T41" s="256"/>
      <c r="U41" s="256"/>
    </row>
    <row r="42" ht="13.5" customHeight="1">
      <c r="A42" s="256"/>
      <c r="B42" s="256"/>
      <c r="C42" t="s" s="247">
        <v>2339</v>
      </c>
      <c r="D42" s="257"/>
      <c r="E42" s="694">
        <f>U34</f>
        <v>4.520113675763748</v>
      </c>
      <c r="F42" s="703">
        <f>E42*$U$24</f>
        <v>110.96879074000003</v>
      </c>
      <c r="G42" s="688">
        <f>0</f>
        <v>0</v>
      </c>
      <c r="H42" s="703">
        <f>F42+G42</f>
        <v>110.96879074000003</v>
      </c>
      <c r="I42" s="697"/>
      <c r="J42" s="257"/>
      <c r="K42" t="s" s="257">
        <v>2318</v>
      </c>
      <c r="L42" s="326"/>
      <c r="M42" s="326"/>
      <c r="N42" s="326"/>
      <c r="O42" s="703">
        <f>E34</f>
        <v>5737.031985790003</v>
      </c>
      <c r="P42" s="697">
        <f>N37</f>
        <v>5700</v>
      </c>
      <c r="Q42" s="703">
        <f>O42-P42</f>
        <v>37.03198579000309</v>
      </c>
      <c r="R42" s="256"/>
      <c r="S42" s="256"/>
      <c r="T42" s="256"/>
      <c r="U42" s="256"/>
    </row>
    <row r="43" ht="13.5" customHeight="1">
      <c r="A43" s="256"/>
      <c r="B43" s="256"/>
      <c r="C43" t="s" s="247">
        <v>2290</v>
      </c>
      <c r="D43" s="257"/>
      <c r="E43" s="694">
        <f>(E10+E11)/E5</f>
        <v>0.06272993890020367</v>
      </c>
      <c r="F43" s="703">
        <f>E43*$U$24</f>
        <v>1.5400200000000002</v>
      </c>
      <c r="G43" s="688">
        <f>0</f>
        <v>0</v>
      </c>
      <c r="H43" s="703">
        <f>F43+G43</f>
        <v>1.5400200000000002</v>
      </c>
      <c r="I43" s="697"/>
      <c r="J43" s="257"/>
      <c r="K43" t="s" s="257">
        <v>2319</v>
      </c>
      <c r="L43" s="326"/>
      <c r="M43" s="326"/>
      <c r="N43" s="326"/>
      <c r="O43" s="703">
        <f>SUM(E29:E31)</f>
        <v>2700</v>
      </c>
      <c r="P43" s="704">
        <v>2700</v>
      </c>
      <c r="Q43" s="703">
        <f>O43-P43</f>
        <v>0</v>
      </c>
      <c r="R43" s="256"/>
      <c r="S43" s="256"/>
      <c r="T43" s="256"/>
      <c r="U43" s="256"/>
    </row>
    <row r="44" ht="13.5" customHeight="1">
      <c r="A44" s="256"/>
      <c r="B44" s="256"/>
      <c r="C44" t="s" s="247">
        <v>2291</v>
      </c>
      <c r="D44" s="257"/>
      <c r="E44" s="694">
        <f>M11</f>
        <v>0</v>
      </c>
      <c r="F44" s="703">
        <f>E44*$U$24</f>
        <v>0</v>
      </c>
      <c r="G44" s="688">
        <f>0</f>
        <v>0</v>
      </c>
      <c r="H44" s="703">
        <f>F44+G44</f>
        <v>0</v>
      </c>
      <c r="I44" s="697"/>
      <c r="J44" s="257"/>
      <c r="K44" s="257"/>
      <c r="L44" s="326"/>
      <c r="M44" s="326"/>
      <c r="N44" s="326"/>
      <c r="O44" s="703"/>
      <c r="P44" s="257"/>
      <c r="Q44" s="703"/>
      <c r="R44" s="256"/>
      <c r="S44" s="256"/>
      <c r="T44" s="256"/>
      <c r="U44" s="256"/>
    </row>
    <row r="45" ht="13.5" customHeight="1">
      <c r="A45" s="256"/>
      <c r="B45" s="256"/>
      <c r="C45" t="s" s="247">
        <v>2292</v>
      </c>
      <c r="D45" s="257"/>
      <c r="E45" s="694">
        <f>U35</f>
        <v>3.3950952924643016</v>
      </c>
      <c r="F45" s="703">
        <f>0</f>
        <v>0</v>
      </c>
      <c r="G45" s="688">
        <f>E45*$U$24</f>
        <v>83.3495894299986</v>
      </c>
      <c r="H45" s="703">
        <f>F45+G45</f>
        <v>83.3495894299986</v>
      </c>
      <c r="I45" s="697"/>
      <c r="J45" s="257"/>
      <c r="K45" t="s" s="257">
        <v>2320</v>
      </c>
      <c r="L45" s="326"/>
      <c r="M45" s="326"/>
      <c r="N45" s="326"/>
      <c r="O45" s="705">
        <v>297.375155</v>
      </c>
      <c r="P45" s="257"/>
      <c r="Q45" s="703"/>
      <c r="R45" s="256"/>
      <c r="S45" s="256"/>
      <c r="T45" s="256"/>
      <c r="U45" s="256"/>
    </row>
    <row r="46" ht="13.5" customHeight="1">
      <c r="A46" s="256"/>
      <c r="B46" s="256"/>
      <c r="C46" t="s" s="247">
        <v>2293</v>
      </c>
      <c r="D46" s="257"/>
      <c r="E46" s="694">
        <f>U7</f>
        <v>3.984521</v>
      </c>
      <c r="F46" s="703">
        <f>0</f>
        <v>0</v>
      </c>
      <c r="G46" s="688">
        <f>E46*$U$24</f>
        <v>97.81999055</v>
      </c>
      <c r="H46" s="703">
        <f>F46+G46</f>
        <v>97.81999055</v>
      </c>
      <c r="I46" s="697"/>
      <c r="J46" s="257"/>
      <c r="K46" t="s" s="257">
        <v>2321</v>
      </c>
      <c r="L46" s="326"/>
      <c r="M46" s="326"/>
      <c r="N46" s="326"/>
      <c r="O46" s="705">
        <v>1.113136</v>
      </c>
      <c r="P46" s="257"/>
      <c r="Q46" s="703"/>
      <c r="R46" s="256"/>
      <c r="S46" s="256"/>
      <c r="T46" s="256"/>
      <c r="U46" s="256"/>
    </row>
    <row r="47" ht="13.5" customHeight="1">
      <c r="A47" s="256"/>
      <c r="B47" s="256"/>
      <c r="C47" t="s" s="247">
        <v>2294</v>
      </c>
      <c r="D47" s="257"/>
      <c r="E47" s="694">
        <f>U11</f>
        <v>0.680244399185336</v>
      </c>
      <c r="F47" s="703">
        <f>E47*$I$11*$U$24</f>
        <v>0</v>
      </c>
      <c r="G47" s="688">
        <f>E47*(1-$I$11)*$U$24</f>
        <v>16.7</v>
      </c>
      <c r="H47" s="703">
        <f>F47+G47</f>
        <v>16.7</v>
      </c>
      <c r="I47" s="697"/>
      <c r="J47" s="257"/>
      <c r="K47" t="s" s="257">
        <v>2344</v>
      </c>
      <c r="L47" s="326"/>
      <c r="M47" s="326"/>
      <c r="N47" s="326"/>
      <c r="O47" s="686">
        <f>U30</f>
        <v>5.349535999999987</v>
      </c>
      <c r="P47" s="257"/>
      <c r="Q47" s="703"/>
      <c r="R47" s="256"/>
      <c r="S47" s="256"/>
      <c r="T47" s="256"/>
      <c r="U47" s="256"/>
    </row>
    <row r="48" ht="13.5" customHeight="1">
      <c r="A48" s="256"/>
      <c r="B48" s="256"/>
      <c r="C48" t="s" s="706">
        <v>37</v>
      </c>
      <c r="D48" s="707"/>
      <c r="E48" s="708">
        <f>SUM(E41:E47)</f>
        <v>311.13099530631354</v>
      </c>
      <c r="F48" s="709">
        <f>SUM(F41:F47)</f>
        <v>7440.396354790001</v>
      </c>
      <c r="G48" s="710">
        <f>SUM(G41:G47)</f>
        <v>197.8695799799986</v>
      </c>
      <c r="H48" s="709">
        <f>SUM(H41:H47)</f>
        <v>7638.265934769999</v>
      </c>
      <c r="I48" s="697"/>
      <c r="J48" s="257"/>
      <c r="K48" t="s" s="257">
        <v>2345</v>
      </c>
      <c r="L48" s="326"/>
      <c r="M48" s="326"/>
      <c r="N48" s="326"/>
      <c r="O48" s="715">
        <f>Q41/P41</f>
        <v>0.005458966863513671</v>
      </c>
      <c r="R48" s="256"/>
      <c r="S48" s="256"/>
      <c r="T48" s="256"/>
      <c r="U48" s="256"/>
    </row>
    <row r="49" ht="13.5" customHeight="1">
      <c r="A49" s="256"/>
      <c r="B49" s="256"/>
      <c r="C49" t="s" s="265">
        <v>2295</v>
      </c>
      <c r="D49" s="256"/>
      <c r="E49" s="711">
        <f>E48-U13</f>
        <v>0</v>
      </c>
      <c r="F49" s="712"/>
      <c r="G49" s="713"/>
      <c r="H49" s="712">
        <f>H48-U14</f>
        <v>0</v>
      </c>
      <c r="I49" s="697"/>
      <c r="J49" s="257"/>
      <c r="K49" t="s" s="257">
        <v>2346</v>
      </c>
      <c r="L49" s="326"/>
      <c r="M49" s="326"/>
      <c r="N49" s="326"/>
      <c r="O49" s="715">
        <f>Q42/P42</f>
        <v>0.006496839612281244</v>
      </c>
      <c r="R49" s="256"/>
      <c r="S49" s="256"/>
      <c r="T49" s="256"/>
      <c r="U49" s="256"/>
    </row>
    <row r="50" ht="13.5" customHeight="1">
      <c r="A50" s="257"/>
      <c r="B50" s="257"/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</row>
    <row r="51" ht="13.5" customHeight="1"/>
    <row r="52" ht="13.5" customHeight="1">
      <c r="A52" s="257"/>
      <c r="C52" t="s" s="468">
        <v>1788</v>
      </c>
      <c r="D52" s="469"/>
      <c r="E52" s="469"/>
      <c r="F52" s="469"/>
      <c r="G52" s="469"/>
      <c r="H52" s="469"/>
      <c r="I52" s="469"/>
      <c r="J52" s="469"/>
      <c r="K52" s="469"/>
      <c r="L52" s="469"/>
      <c r="M52" s="469"/>
      <c r="N52" s="469"/>
      <c r="O52" s="469"/>
      <c r="P52" s="469"/>
      <c r="Q52" s="469"/>
    </row>
    <row r="53" ht="13.5" customHeight="1">
      <c r="E53" t="s" s="266">
        <v>1394</v>
      </c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t="s" s="347">
        <v>1395</v>
      </c>
      <c r="Q53" s="267"/>
    </row>
    <row r="54" s="256" customFormat="1" ht="13.5" customHeight="1">
      <c r="E54" s="499">
        <f>DATE(2021,12,31)</f>
        <v>44561</v>
      </c>
      <c r="F54" s="499">
        <f>EOMONTH(E54,12)</f>
        <v>44926</v>
      </c>
      <c r="G54" s="499">
        <f>EOMONTH(F54,12)</f>
        <v>45291</v>
      </c>
      <c r="H54" s="499">
        <f>EOMONTH(G54,12)</f>
        <v>45657</v>
      </c>
      <c r="I54" s="499">
        <f>EOMONTH(H54,12)</f>
        <v>46022</v>
      </c>
      <c r="J54" s="500">
        <f>EOMONTH(I54,12)</f>
        <v>46387</v>
      </c>
      <c r="K54" s="500">
        <f>EOMONTH(J54,12)</f>
        <v>46752</v>
      </c>
      <c r="L54" s="500">
        <f>EOMONTH(K54,12)</f>
        <v>47118</v>
      </c>
      <c r="M54" s="500">
        <f>EOMONTH(L54,12)</f>
        <v>47483</v>
      </c>
      <c r="N54" s="500">
        <f>EOMONTH(M54,12)</f>
        <v>47848</v>
      </c>
      <c r="O54" s="500">
        <f>EOMONTH(N54,12)</f>
        <v>48213</v>
      </c>
      <c r="P54" t="s" s="347">
        <v>1850</v>
      </c>
      <c r="Q54" t="s" s="347">
        <v>1851</v>
      </c>
    </row>
    <row r="55" ht="13.5" customHeight="1">
      <c r="C55" t="s" s="257">
        <v>303</v>
      </c>
      <c r="E55" s="350">
        <f>'Income Statement'!B6</f>
        <v>252.022</v>
      </c>
      <c r="F55" s="350">
        <f>'Income Statement'!C6</f>
        <v>303.426</v>
      </c>
      <c r="G55" s="350">
        <f>'Income Statement'!D6</f>
        <v>368.168</v>
      </c>
      <c r="H55" s="350">
        <f>'Income Statement'!E6</f>
        <v>451.803</v>
      </c>
      <c r="I55" s="350">
        <f>'Income Statement'!F6</f>
        <v>731.368</v>
      </c>
      <c r="J55" s="325">
        <f>I55*(1+J56)</f>
        <v>936.4459959181302</v>
      </c>
      <c r="K55" s="325">
        <f>J55*(1+K56)</f>
        <v>1063.9840547636156</v>
      </c>
      <c r="L55" s="325">
        <f>K55*(1+L56)</f>
        <v>1198.2521550674492</v>
      </c>
      <c r="M55" s="325">
        <f>L55*(1+M56)</f>
        <v>1337.4815241701785</v>
      </c>
      <c r="N55" s="325">
        <f>M55*(1+N56)</f>
        <v>1479.5136556293476</v>
      </c>
      <c r="O55" s="325">
        <f>N55*(1+O56)</f>
        <v>1627.4650211922824</v>
      </c>
      <c r="P55" s="268">
        <f>IF(OR(E55&lt;=0,I55&lt;=0),"n.m.",(I55/E55)^(1/(YEAR($I$54)-YEAR($E$54)))-1)</f>
        <v>0.30519191588145844</v>
      </c>
      <c r="Q55" s="268">
        <f>IF(OR(I55&lt;=0,N55&lt;=0),"n.m.",(N55/I55)^(1/(YEAR($N$54)-YEAR($I$54)))-1)</f>
        <v>0.15132147313245836</v>
      </c>
    </row>
    <row r="56" ht="13.5" customHeight="1">
      <c r="C56" t="s" s="269">
        <v>1398</v>
      </c>
      <c r="F56" s="352">
        <f>F55/E55-1</f>
        <v>0.20396632040059992</v>
      </c>
      <c r="G56" s="352">
        <f>G55/F55-1</f>
        <v>0.21336998147818576</v>
      </c>
      <c r="H56" s="352">
        <f>H55/G55-1</f>
        <v>0.22716531583407562</v>
      </c>
      <c r="I56" s="352">
        <f>I55/H55-1</f>
        <v>0.6187763250797362</v>
      </c>
      <c r="J56" s="351">
        <f>'Driver Assumptions'!F8+$E$13+Sensitivities!$F$11/100</f>
        <v>0.2804032934420566</v>
      </c>
      <c r="K56" s="351">
        <f>'Driver Assumptions'!G8+$E$13+Sensitivities!$F$11/100</f>
        <v>0.13619371474853903</v>
      </c>
      <c r="L56" s="351">
        <f>'Driver Assumptions'!H8+$E$13+Sensitivities!$F$11/100</f>
        <v>0.12619371474853902</v>
      </c>
      <c r="M56" s="351">
        <f>'Driver Assumptions'!I8+$E$13+Sensitivities!$F$11/100</f>
        <v>0.11619371474853901</v>
      </c>
      <c r="N56" s="351">
        <f>'Driver Assumptions'!J8+$E$13+Sensitivities!$F$11/100</f>
        <v>0.106193714748539</v>
      </c>
      <c r="O56" s="351">
        <f>'Driver Assumptions'!K8+$E$13+Sensitivities!$F$11/100</f>
        <v>0.10000000000000009</v>
      </c>
    </row>
    <row r="57" ht="13.5" customHeight="1">
      <c r="C57" t="s" s="483">
        <v>1784</v>
      </c>
      <c r="D57" s="486"/>
      <c r="E57" s="485">
        <f>'Income Statement'!B32</f>
        <v>72.676</v>
      </c>
      <c r="F57" s="485">
        <f>'Income Statement'!C32</f>
        <v>81.136</v>
      </c>
      <c r="G57" s="485">
        <f>'Income Statement'!D32</f>
        <v>105.906</v>
      </c>
      <c r="H57" s="485">
        <f>'Income Statement'!E32</f>
        <v>145.674</v>
      </c>
      <c r="I57" s="485">
        <f>'Income Statement'!F32</f>
        <v>248.19</v>
      </c>
      <c r="J57" s="481">
        <f>J55*J58</f>
        <v>334.71799748251317</v>
      </c>
      <c r="K57" s="481">
        <f>K55*K58</f>
        <v>395.47458677782515</v>
      </c>
      <c r="L57" s="481">
        <f>L55*L58</f>
        <v>453.016663807723</v>
      </c>
      <c r="M57" s="481">
        <f>M55*M58</f>
        <v>514.1772394971034</v>
      </c>
      <c r="N57" s="481">
        <f>N55*N58</f>
        <v>573.4936124361247</v>
      </c>
      <c r="O57" s="481">
        <f>O55*O58</f>
        <v>636.0283537011794</v>
      </c>
      <c r="P57" s="487">
        <f>IF(OR(E57&lt;=0,I57&lt;=0),"n.m.",(I57/E57)^(1/(YEAR($I$54)-YEAR($E$54)))-1)</f>
        <v>0.35940328700204494</v>
      </c>
      <c r="Q57" s="487">
        <f>IF(OR(I57&lt;=0,N57&lt;=0),"n.m.",(N57/I57)^(1/(YEAR($N$54)-YEAR($I$54)))-1)</f>
        <v>0.18235763790103476</v>
      </c>
    </row>
    <row r="58" ht="13.5" customHeight="1">
      <c r="C58" t="s" s="269">
        <v>1402</v>
      </c>
      <c r="E58" s="352">
        <f>E57/E55</f>
        <v>0.2883716500940394</v>
      </c>
      <c r="F58" s="352">
        <f>F57/F55</f>
        <v>0.2673996295637157</v>
      </c>
      <c r="G58" s="352">
        <f>G57/G55</f>
        <v>0.28765672193129227</v>
      </c>
      <c r="H58" s="352">
        <f>H57/H55</f>
        <v>0.322428137927371</v>
      </c>
      <c r="I58" s="352">
        <f>I57/I55</f>
        <v>0.33935036807735636</v>
      </c>
      <c r="J58" s="351">
        <f>'Driver Assumptions'!F14+$I$13+Sensitivities!$F$12/100</f>
        <v>0.3574343837674717</v>
      </c>
      <c r="K58" s="351">
        <f>'Driver Assumptions'!G14+$I$13+Sensitivities!$F$12/100</f>
        <v>0.3716922119342168</v>
      </c>
      <c r="L58" s="351">
        <f>'Driver Assumptions'!H14+$I$13+Sensitivities!$F$12/100</f>
        <v>0.37806455168213143</v>
      </c>
      <c r="M58" s="351">
        <f>'Driver Assumptions'!I14+$I$13+Sensitivities!$F$12/100</f>
        <v>0.38443689143004606</v>
      </c>
      <c r="N58" s="351">
        <f>'Driver Assumptions'!J14+$I$13+Sensitivities!$F$12/100</f>
        <v>0.38762306130400337</v>
      </c>
      <c r="O58" s="351">
        <f>'Driver Assumptions'!K14+$I$13+Sensitivities!$F$12/100</f>
        <v>0.3908092311779607</v>
      </c>
    </row>
    <row r="59" ht="13.5" customHeight="1">
      <c r="C59" t="s" s="257">
        <v>931</v>
      </c>
      <c r="E59" s="350">
        <f>-'Income Statement'!B30</f>
        <v>-36.695</v>
      </c>
      <c r="F59" s="350">
        <f>-'Income Statement'!C30</f>
        <v>-65.691</v>
      </c>
      <c r="G59" s="350">
        <f>-'Income Statement'!D30</f>
        <v>-104.447</v>
      </c>
      <c r="H59" s="350">
        <f>-'Income Statement'!E30</f>
        <v>-103.201</v>
      </c>
      <c r="I59" s="350">
        <f>-'Income Statement'!F30</f>
        <v>-127.896</v>
      </c>
      <c r="J59" s="350">
        <f>-'Driver Assumptions'!F20</f>
        <v>-127.896</v>
      </c>
      <c r="K59" s="350">
        <f>-'Driver Assumptions'!G20</f>
        <v>-127.896</v>
      </c>
      <c r="L59" s="350">
        <f>-'Driver Assumptions'!H20</f>
        <v>-135.96583567073958</v>
      </c>
      <c r="M59" s="350">
        <f>-'Driver Assumptions'!I20</f>
        <v>-143.8650234334759</v>
      </c>
      <c r="N59" s="350">
        <f>-'Driver Assumptions'!J20</f>
        <v>-151.50380406386913</v>
      </c>
      <c r="O59" s="350">
        <f>-'Driver Assumptions'!K20</f>
        <v>-159.0789942670626</v>
      </c>
    </row>
    <row r="60" ht="13.5" customHeight="1">
      <c r="C60" t="s" s="483">
        <v>1791</v>
      </c>
      <c r="D60" s="486"/>
      <c r="E60" s="481">
        <f>E57+E59</f>
        <v>35.981</v>
      </c>
      <c r="F60" s="481">
        <f>F57+F59</f>
        <v>15.444999999999993</v>
      </c>
      <c r="G60" s="481">
        <f>G57+G59</f>
        <v>1.4590000000000032</v>
      </c>
      <c r="H60" s="481">
        <f>H57+H59</f>
        <v>42.47300000000001</v>
      </c>
      <c r="I60" s="481">
        <f>I57+I59</f>
        <v>120.294</v>
      </c>
      <c r="J60" s="481">
        <f>J57+J59</f>
        <v>206.82199748251315</v>
      </c>
      <c r="K60" s="481">
        <f>K57+K59</f>
        <v>267.57858677782514</v>
      </c>
      <c r="L60" s="481">
        <f>L57+L59</f>
        <v>317.0508281369834</v>
      </c>
      <c r="M60" s="481">
        <f>M57+M59</f>
        <v>370.3122160636275</v>
      </c>
      <c r="N60" s="481">
        <f>N57+N59</f>
        <v>421.98980837225565</v>
      </c>
      <c r="O60" s="481">
        <f>O57+O59</f>
        <v>476.9493594341168</v>
      </c>
      <c r="P60" s="487">
        <f>IF(OR(E60&lt;=0,I60&lt;=0),"n.m.",(I60/E60)^(1/(YEAR($I$54)-YEAR($E$54)))-1)</f>
        <v>0.3522054569401085</v>
      </c>
      <c r="Q60" s="487">
        <f>IF(OR(I60&lt;=0,N60&lt;=0),"n.m.",(N60/I60)^(1/(YEAR($N$54)-YEAR($I$54)))-1)</f>
        <v>0.28532098805944317</v>
      </c>
    </row>
    <row r="61" ht="13.5" customHeight="1">
      <c r="C61" t="s" s="269">
        <v>1402</v>
      </c>
      <c r="E61" s="352">
        <f>E60/E55</f>
        <v>0.14276928204680545</v>
      </c>
      <c r="F61" s="352">
        <f>F60/F55</f>
        <v>0.05090203212644926</v>
      </c>
      <c r="G61" s="352">
        <f>G60/G55</f>
        <v>0.003962864779122583</v>
      </c>
      <c r="H61" s="352">
        <f>H60/H55</f>
        <v>0.09400778657954909</v>
      </c>
      <c r="I61" s="352">
        <f>I60/I55</f>
        <v>0.16447807396550027</v>
      </c>
      <c r="J61" s="352">
        <f>J60/J55</f>
        <v>0.22085843538658773</v>
      </c>
      <c r="K61" s="352">
        <f>K60/K55</f>
        <v>0.2514874030111972</v>
      </c>
      <c r="L61" s="352">
        <f>L60/L55</f>
        <v>0.26459441512052756</v>
      </c>
      <c r="M61" s="352">
        <f>M60/M55</f>
        <v>0.2768727712282848</v>
      </c>
      <c r="N61" s="352">
        <f>N60/N55</f>
        <v>0.2852219759963972</v>
      </c>
      <c r="O61" s="352">
        <f>O60/O55</f>
        <v>0.29306274065706384</v>
      </c>
    </row>
    <row r="62" ht="13.5" customHeight="1">
      <c r="C62" t="s" s="257">
        <v>728</v>
      </c>
      <c r="E62" s="350">
        <f>'Cash Flow'!B28</f>
        <v>-5.025</v>
      </c>
      <c r="F62" s="350">
        <f>'Cash Flow'!C28</f>
        <v>-7.758</v>
      </c>
      <c r="G62" s="350">
        <f>'Cash Flow'!D28</f>
        <v>-5.624</v>
      </c>
      <c r="H62" s="350">
        <f>'Cash Flow'!E28</f>
        <v>-5.259</v>
      </c>
      <c r="I62" s="350">
        <f>'Cash Flow'!F28</f>
        <v>-11.554</v>
      </c>
      <c r="J62" s="350">
        <f>-J55*('Driver Assumptions'!F26+Sensitivities!$F$16/100)</f>
        <v>-15.654941850427475</v>
      </c>
      <c r="K62" s="350">
        <f>-K55*('Driver Assumptions'!G26+Sensitivities!$F$16/100)</f>
        <v>-17.787046535209562</v>
      </c>
      <c r="L62" s="350">
        <f>-L55*('Driver Assumptions'!H26+Sensitivities!$F$16/100)</f>
        <v>-20.031660011892786</v>
      </c>
      <c r="M62" s="350">
        <f>-M55*('Driver Assumptions'!I26+Sensitivities!$F$16/100)</f>
        <v>-22.35921300125437</v>
      </c>
      <c r="N62" s="350">
        <f>-N55*('Driver Assumptions'!J26+Sensitivities!$F$16/100)</f>
        <v>-24.7336208887114</v>
      </c>
      <c r="O62" s="350">
        <f>-O55*('Driver Assumptions'!K26+Sensitivities!$F$16/100)</f>
        <v>-27.20698297758254</v>
      </c>
    </row>
    <row r="63" ht="13.5" customHeight="1">
      <c r="C63" t="s" s="269">
        <v>1792</v>
      </c>
      <c r="E63" s="352">
        <f>-E62/E55</f>
        <v>0.019938735507217625</v>
      </c>
      <c r="F63" s="352">
        <f>-F62/F55</f>
        <v>0.025568013288248207</v>
      </c>
      <c r="G63" s="352">
        <f>-G62/G55</f>
        <v>0.015275635036179135</v>
      </c>
      <c r="H63" s="352">
        <f>-H62/H55</f>
        <v>0.01164002895067098</v>
      </c>
      <c r="I63" s="352">
        <f>-I62/I55</f>
        <v>0.015797792629702146</v>
      </c>
      <c r="J63" s="352">
        <f>-J62/J55</f>
        <v>0.01671739952828644</v>
      </c>
      <c r="K63" s="352">
        <f>-K62/K55</f>
        <v>0.01671739952828644</v>
      </c>
      <c r="L63" s="352">
        <f>-L62/L55</f>
        <v>0.01671739952828644</v>
      </c>
      <c r="M63" s="352">
        <f>-M62/M55</f>
        <v>0.01671739952828644</v>
      </c>
      <c r="N63" s="352">
        <f>-N62/N55</f>
        <v>0.01671739952828644</v>
      </c>
      <c r="O63" s="352">
        <f>-O62/O55</f>
        <v>0.01671739952828644</v>
      </c>
    </row>
    <row r="64" ht="13.5" customHeight="1">
      <c r="C64" t="s" s="257">
        <v>697</v>
      </c>
      <c r="J64" s="350">
        <f>J62*'Driver Assumptions'!F32</f>
        <v>-15.29087343530125</v>
      </c>
      <c r="K64" s="350">
        <f>K62*'Driver Assumptions'!G32</f>
        <v>-17.373394290204683</v>
      </c>
      <c r="L64" s="350">
        <f>L62*'Driver Assumptions'!H32</f>
        <v>-19.56580745347667</v>
      </c>
      <c r="M64" s="350">
        <f>M62*'Driver Assumptions'!I32</f>
        <v>-21.839231303550775</v>
      </c>
      <c r="N64" s="350">
        <f>N62*'Driver Assumptions'!J32</f>
        <v>-24.15842040292741</v>
      </c>
      <c r="O64" s="350">
        <f>O62*'Driver Assumptions'!K32</f>
        <v>-26.57426244322015</v>
      </c>
    </row>
    <row r="65" ht="13.5" customHeight="1">
      <c r="C65" t="s" s="483">
        <v>1793</v>
      </c>
      <c r="D65" s="486"/>
      <c r="E65" s="488"/>
      <c r="F65" s="488"/>
      <c r="G65" s="488"/>
      <c r="H65" s="488"/>
      <c r="I65" s="488"/>
      <c r="J65" s="481">
        <f>J60+J64</f>
        <v>191.5311240472119</v>
      </c>
      <c r="K65" s="481">
        <f>K60+K64</f>
        <v>250.20519248762045</v>
      </c>
      <c r="L65" s="481">
        <f>L60+L64</f>
        <v>297.4850206835067</v>
      </c>
      <c r="M65" s="481">
        <f>M60+M64</f>
        <v>348.4729847600767</v>
      </c>
      <c r="N65" s="481">
        <f>N60+N64</f>
        <v>397.83138796932826</v>
      </c>
      <c r="O65" s="481">
        <f>O60+O64</f>
        <v>450.3750969908966</v>
      </c>
      <c r="P65" s="486"/>
      <c r="Q65" s="486"/>
    </row>
    <row r="66" ht="13.5" customHeight="1">
      <c r="C66" t="s" s="269">
        <v>1402</v>
      </c>
      <c r="J66" s="352">
        <f>J65/J55</f>
        <v>0.20452981259151726</v>
      </c>
      <c r="K66" s="352">
        <f>K65/K55</f>
        <v>0.23515878021612674</v>
      </c>
      <c r="L66" s="352">
        <f>L65/L55</f>
        <v>0.24826579232545706</v>
      </c>
      <c r="M66" s="352">
        <f>M65/M55</f>
        <v>0.26054414843321433</v>
      </c>
      <c r="N66" s="352">
        <f>N65/N55</f>
        <v>0.26889335320132673</v>
      </c>
      <c r="O66" s="352">
        <f>O65/O55</f>
        <v>0.27673411786199337</v>
      </c>
    </row>
    <row r="67" ht="13.5" customHeight="1">
      <c r="C67" t="s" s="257">
        <v>677</v>
      </c>
      <c r="E67" s="350">
        <f>'Cash Flow'!B10</f>
        <v>3.385</v>
      </c>
      <c r="F67" s="350">
        <f>'Cash Flow'!C10</f>
        <v>4.327</v>
      </c>
      <c r="G67" s="350">
        <f>'Cash Flow'!D10</f>
        <v>4.763</v>
      </c>
      <c r="H67" s="350">
        <f>'Cash Flow'!E10</f>
        <v>5.265</v>
      </c>
      <c r="I67" s="350">
        <f>'Cash Flow'!F10</f>
        <v>11.487</v>
      </c>
      <c r="J67" s="350">
        <f>J55*'Driver Assumptions'!F44</f>
        <v>12.987255269272913</v>
      </c>
      <c r="K67" s="350">
        <f>K55*'Driver Assumptions'!G44</f>
        <v>14.756037808782729</v>
      </c>
      <c r="L67" s="350">
        <f>L55*'Driver Assumptions'!H44</f>
        <v>16.618157034842913</v>
      </c>
      <c r="M67" s="350">
        <f>M55*'Driver Assumptions'!I44</f>
        <v>18.549082432995878</v>
      </c>
      <c r="N67" s="350">
        <f>N55*'Driver Assumptions'!J44</f>
        <v>20.518878401732575</v>
      </c>
      <c r="O67" s="350">
        <f>O55*'Driver Assumptions'!K44</f>
        <v>22.570766241905837</v>
      </c>
    </row>
    <row r="68" ht="13.5" customHeight="1">
      <c r="C68" t="s" s="257">
        <v>1794</v>
      </c>
      <c r="J68" s="350">
        <f>-J55*('Driver Assumptions'!F38+Sensitivities!$F$17/100)</f>
        <v>-25.47228435290626</v>
      </c>
      <c r="K68" s="350">
        <f>-K55*('Driver Assumptions'!G38+Sensitivities!$F$17/100)</f>
        <v>-28.941449382059652</v>
      </c>
      <c r="L68" s="350">
        <f>-L55*('Driver Assumptions'!H38+Sensitivities!$F$17/100)</f>
        <v>-32.593678389788565</v>
      </c>
      <c r="M68" s="350">
        <f>-M55*('Driver Assumptions'!I38+Sensitivities!$F$17/100)</f>
        <v>-36.38085895921728</v>
      </c>
      <c r="N68" s="350">
        <f>-N55*('Driver Assumptions'!J38+Sensitivities!$F$17/100)</f>
        <v>-40.24427751783923</v>
      </c>
      <c r="O68" s="350">
        <f>-O55*('Driver Assumptions'!K38+Sensitivities!$F$17/100)</f>
        <v>-44.268705269623155</v>
      </c>
    </row>
    <row r="69" ht="13.5" customHeight="1"/>
    <row r="70" ht="13.5" customHeight="1">
      <c r="A70" s="257"/>
      <c r="C70" t="s" s="468">
        <v>1795</v>
      </c>
      <c r="D70" s="469"/>
      <c r="E70" s="469"/>
      <c r="F70" s="469"/>
      <c r="G70" s="469"/>
      <c r="H70" s="469"/>
      <c r="I70" t="s" s="471">
        <v>974</v>
      </c>
      <c r="J70" s="471">
        <f>J$54</f>
        <v>46387</v>
      </c>
      <c r="K70" s="471">
        <f>K$54</f>
        <v>46752</v>
      </c>
      <c r="L70" s="471">
        <f>L$54</f>
        <v>47118</v>
      </c>
      <c r="M70" s="471">
        <f>M$54</f>
        <v>47483</v>
      </c>
      <c r="N70" s="471">
        <f>N$54</f>
        <v>47848</v>
      </c>
      <c r="O70" s="471">
        <f>O$54</f>
        <v>48213</v>
      </c>
      <c r="P70" s="472"/>
      <c r="Q70" s="472"/>
    </row>
    <row r="71" s="247" customFormat="1" ht="11.65">
      <c r="C71" t="s" s="269">
        <v>1796</v>
      </c>
      <c r="J71" s="354">
        <f>MAX(0,(J$54-MAX($E$4,EDATE(J$54,-12))))/(J$54-EDATE(J$54,-12))</f>
        <v>0.5178082191780822</v>
      </c>
      <c r="K71" s="354">
        <f>MAX(0,(K$54-MAX($E$4,EDATE(K$54,-12))))/(K$54-EDATE(K$54,-12))</f>
        <v>1</v>
      </c>
      <c r="L71" s="354">
        <f>MAX(0,(L$54-MAX($E$4,EDATE(L$54,-12))))/(L$54-EDATE(L$54,-12))</f>
        <v>1</v>
      </c>
      <c r="M71" s="354">
        <f>MAX(0,(M$54-MAX($E$4,EDATE(M$54,-12))))/(M$54-EDATE(M$54,-12))</f>
        <v>1</v>
      </c>
      <c r="N71" s="354">
        <f>MAX(0,(N$54-MAX($E$4,EDATE(N$54,-12))))/(N$54-EDATE(N$54,-12))</f>
        <v>1</v>
      </c>
      <c r="O71" s="354">
        <f>MAX(0,(O$54-MAX($E$4,EDATE(O$54,-12))))/(O$54-EDATE(O$54,-12))</f>
        <v>1</v>
      </c>
    </row>
    <row r="72" s="247" customFormat="1" ht="11.65">
      <c r="C72" t="s" s="257">
        <v>1797</v>
      </c>
      <c r="J72" s="325">
        <f>J60*J71</f>
        <v>107.09413020327393</v>
      </c>
      <c r="K72" s="325">
        <f>K60*K71</f>
        <v>267.57858677782514</v>
      </c>
      <c r="L72" s="325">
        <f>L60*L71</f>
        <v>317.0508281369834</v>
      </c>
      <c r="M72" s="325">
        <f>M60*M71</f>
        <v>370.3122160636275</v>
      </c>
      <c r="N72" s="325">
        <f>N60*N71</f>
        <v>421.98980837225565</v>
      </c>
      <c r="O72" s="325">
        <f>O60*O71</f>
        <v>476.9493594341168</v>
      </c>
    </row>
    <row r="73" s="247" customFormat="1" ht="11.65">
      <c r="C73" t="s" s="257">
        <v>1798</v>
      </c>
      <c r="J73" s="325">
        <f>J64*J71</f>
        <v>-7.917739943210784</v>
      </c>
      <c r="K73" s="325">
        <f>K64*K71</f>
        <v>-17.373394290204683</v>
      </c>
      <c r="L73" s="325">
        <f>L64*L71</f>
        <v>-19.56580745347667</v>
      </c>
      <c r="M73" s="325">
        <f>M64*M71</f>
        <v>-21.839231303550775</v>
      </c>
      <c r="N73" s="325">
        <f>N64*N71</f>
        <v>-24.15842040292741</v>
      </c>
      <c r="O73" s="325">
        <f>O64*O71</f>
        <v>-26.57426244322015</v>
      </c>
    </row>
    <row r="74" s="247" customFormat="1" ht="11.65">
      <c r="C74" t="s" s="483">
        <v>1799</v>
      </c>
      <c r="D74" s="483"/>
      <c r="E74" s="483"/>
      <c r="F74" s="483"/>
      <c r="G74" s="483"/>
      <c r="H74" s="483"/>
      <c r="I74" s="483"/>
      <c r="J74" s="481">
        <f>J72+J73</f>
        <v>99.17639026006314</v>
      </c>
      <c r="K74" s="481">
        <f>K72+K73</f>
        <v>250.20519248762045</v>
      </c>
      <c r="L74" s="481">
        <f>L72+L73</f>
        <v>297.4850206835067</v>
      </c>
      <c r="M74" s="481">
        <f>M72+M73</f>
        <v>348.4729847600767</v>
      </c>
      <c r="N74" s="481">
        <f>N72+N73</f>
        <v>397.83138796932826</v>
      </c>
      <c r="O74" s="481">
        <f>O72+O73</f>
        <v>450.3750969908966</v>
      </c>
    </row>
    <row r="75" s="247" customFormat="1" ht="11.65">
      <c r="C75" t="s" s="257">
        <v>668</v>
      </c>
      <c r="J75" s="325">
        <f>-J168</f>
        <v>-122.02940423401043</v>
      </c>
      <c r="K75" s="325">
        <f>-K168</f>
        <v>-239.3579775336762</v>
      </c>
      <c r="L75" s="325">
        <f>-L168</f>
        <v>-226.92654922612036</v>
      </c>
      <c r="M75" s="325">
        <f>-M168</f>
        <v>-212.094535488096</v>
      </c>
      <c r="N75" s="325">
        <f>-N168</f>
        <v>-200.8120449318096</v>
      </c>
      <c r="O75" s="325">
        <f>-O168</f>
        <v>-184.79434073078863</v>
      </c>
    </row>
    <row r="76" s="247" customFormat="1" ht="11.65">
      <c r="C76" t="s" s="257">
        <v>1129</v>
      </c>
      <c r="J76" s="325">
        <f>J169</f>
        <v>1.44179351954766</v>
      </c>
      <c r="K76" s="325">
        <f>K169</f>
        <v>2.784416056269291</v>
      </c>
      <c r="L76" s="325">
        <f>L169</f>
        <v>2.6475</v>
      </c>
      <c r="M76" s="325">
        <f>M169</f>
        <v>2.6475</v>
      </c>
      <c r="N76" s="325">
        <f>N169</f>
        <v>2.647499999999839</v>
      </c>
      <c r="O76" s="325">
        <f>O169</f>
        <v>2.647500002506948</v>
      </c>
    </row>
    <row r="77" s="247" customFormat="1" ht="11.65">
      <c r="C77" t="s" s="483">
        <v>1800</v>
      </c>
      <c r="D77" s="483"/>
      <c r="E77" s="483"/>
      <c r="F77" s="483"/>
      <c r="G77" s="483"/>
      <c r="H77" s="483"/>
      <c r="I77" s="483"/>
      <c r="J77" s="481">
        <f>SUM(J74:J76)-MAX(0,-J156+J59*J71)</f>
        <v>-21.411220454399626</v>
      </c>
      <c r="K77" s="481">
        <f>SUM(K74:K76)-MAX(0,-K156+K59*K71)</f>
        <v>13.631631010213535</v>
      </c>
      <c r="L77" s="481">
        <f>SUM(L74:L76)-MAX(0,-L156+L59*L71)</f>
        <v>73.20597145738635</v>
      </c>
      <c r="M77" s="481">
        <f>SUM(M74:M76)-MAX(0,-M156+M59*M71)</f>
        <v>139.02594927198072</v>
      </c>
      <c r="N77" s="481">
        <f>SUM(N74:N76)-MAX(0,-N156+N59*N71)</f>
        <v>199.6668430375185</v>
      </c>
      <c r="O77" s="481">
        <f>SUM(O74:O76)-MAX(0,-O156+O59*O71)</f>
        <v>268.22825626261493</v>
      </c>
    </row>
    <row r="78" s="247" customFormat="1" ht="11.65">
      <c r="C78" t="s" s="257">
        <v>1130</v>
      </c>
      <c r="J78" s="325">
        <f>-J92</f>
        <v>-3.352407559954047</v>
      </c>
      <c r="K78" s="325">
        <f>-K92</f>
        <v>-8.496580822713646</v>
      </c>
      <c r="L78" s="325">
        <f>-L92</f>
        <v>-10.11848861212058</v>
      </c>
      <c r="M78" s="325">
        <f>-M92</f>
        <v>-11.868965997049422</v>
      </c>
      <c r="N78" s="325">
        <f>-N92</f>
        <v>-13.561722272882577</v>
      </c>
      <c r="O78" s="325">
        <f>-O92</f>
        <v>-15.364514458033078</v>
      </c>
    </row>
    <row r="79" s="247" customFormat="1" ht="11.65">
      <c r="C79" t="s" s="483">
        <v>582</v>
      </c>
      <c r="D79" s="483"/>
      <c r="E79" s="483"/>
      <c r="F79" s="483"/>
      <c r="G79" s="483"/>
      <c r="H79" s="483"/>
      <c r="I79" s="483"/>
      <c r="J79" s="481">
        <f>J77+J78</f>
        <v>-24.76362801435367</v>
      </c>
      <c r="K79" s="481">
        <f>K77+K78</f>
        <v>5.135050187499889</v>
      </c>
      <c r="L79" s="481">
        <f>L77+L78</f>
        <v>63.087482845265775</v>
      </c>
      <c r="M79" s="481">
        <f>M77+M78</f>
        <v>127.15698327493129</v>
      </c>
      <c r="N79" s="481">
        <f>N77+N78</f>
        <v>186.10512076463593</v>
      </c>
      <c r="O79" s="481">
        <f>O77+O78</f>
        <v>252.86374180458185</v>
      </c>
    </row>
    <row r="80" s="247" customFormat="1" ht="11.65"/>
    <row r="81" s="247" customFormat="1" ht="11.65">
      <c r="C81" t="s" s="272">
        <v>1801</v>
      </c>
    </row>
    <row r="82" s="247" customFormat="1" ht="11.65">
      <c r="C82" t="s" s="257">
        <v>1132</v>
      </c>
      <c r="J82" s="310">
        <f>J168-J169</f>
        <v>120.58761071446277</v>
      </c>
      <c r="K82" s="310">
        <f>K168-K169</f>
        <v>236.5735614774069</v>
      </c>
      <c r="L82" s="310">
        <f>L168-L169</f>
        <v>224.27904922612035</v>
      </c>
      <c r="M82" s="310">
        <f>M168-M169</f>
        <v>209.447035488096</v>
      </c>
      <c r="N82" s="310">
        <f>N168-N169</f>
        <v>198.16454493180956</v>
      </c>
      <c r="O82" s="310">
        <f>O168-O169</f>
        <v>182.14684072897393</v>
      </c>
    </row>
    <row r="83" s="247" customFormat="1" ht="11.65">
      <c r="C83" t="s" s="257">
        <v>1133</v>
      </c>
      <c r="J83" s="310">
        <f>0</f>
        <v>0</v>
      </c>
      <c r="K83" s="310">
        <f>J86</f>
        <v>88.45937165348059</v>
      </c>
      <c r="L83" s="310">
        <f>K86</f>
        <v>244.75935709753998</v>
      </c>
      <c r="M83" s="310">
        <f>L86</f>
        <v>373.9231578825653</v>
      </c>
      <c r="N83" s="310">
        <f>M86</f>
        <v>472.2765285515731</v>
      </c>
      <c r="O83" s="310">
        <f>N86</f>
        <v>543.8441309717</v>
      </c>
    </row>
    <row r="84" s="247" customFormat="1" ht="11.65">
      <c r="C84" t="s" s="257">
        <v>1134</v>
      </c>
      <c r="J84" s="310">
        <f>$I$9*MAX(0,J72-MAX(0,-J156+J59*J71))</f>
        <v>32.12823906098218</v>
      </c>
      <c r="K84" s="310">
        <f>$I$9*MAX(0,K72-MAX(0,-K156+K59*K71))</f>
        <v>80.27357603334754</v>
      </c>
      <c r="L84" s="310">
        <f>$I$9*MAX(0,L72-MAX(0,-L156+L59*L71))</f>
        <v>95.11524844109502</v>
      </c>
      <c r="M84" s="310">
        <f>$I$9*MAX(0,M72-MAX(0,-M156+M59*M71))</f>
        <v>111.09366481908825</v>
      </c>
      <c r="N84" s="310">
        <f>$I$9*MAX(0,N72-MAX(0,-N156+N59*N71))</f>
        <v>126.59694251167669</v>
      </c>
      <c r="O84" s="310">
        <f>$I$9*MAX(0,O72-MAX(0,-O156+O59*O71))</f>
        <v>143.08480783023504</v>
      </c>
    </row>
    <row r="85" s="247" customFormat="1" ht="11.65">
      <c r="C85" t="s" s="257">
        <v>1135</v>
      </c>
      <c r="J85" s="310">
        <f>MIN(J82+J83,J84)</f>
        <v>32.12823906098218</v>
      </c>
      <c r="K85" s="310">
        <f>MIN(K82+K83,K84)</f>
        <v>80.27357603334754</v>
      </c>
      <c r="L85" s="310">
        <f>MIN(L82+L83,L84)</f>
        <v>95.11524844109502</v>
      </c>
      <c r="M85" s="310">
        <f>MIN(M82+M83,M84)</f>
        <v>111.09366481908825</v>
      </c>
      <c r="N85" s="310">
        <f>MIN(N82+N83,N84)</f>
        <v>126.59694251167669</v>
      </c>
      <c r="O85" s="310">
        <f>MIN(O82+O83,O84)</f>
        <v>143.08480783023504</v>
      </c>
    </row>
    <row r="86" s="247" customFormat="1" ht="11.65">
      <c r="C86" t="s" s="257">
        <v>1136</v>
      </c>
      <c r="J86" s="310">
        <f>J83+J82-J85</f>
        <v>88.45937165348059</v>
      </c>
      <c r="K86" s="310">
        <f>K83+K82-K85</f>
        <v>244.75935709753998</v>
      </c>
      <c r="L86" s="310">
        <f>L83+L82-L85</f>
        <v>373.9231578825653</v>
      </c>
      <c r="M86" s="310">
        <f>M83+M82-M85</f>
        <v>472.2765285515731</v>
      </c>
      <c r="N86" s="310">
        <f>N83+N82-N85</f>
        <v>543.8441309717059</v>
      </c>
      <c r="O86" s="310">
        <f>O83+O82-O85</f>
        <v>582.906163870439</v>
      </c>
    </row>
    <row r="87" s="247" customFormat="1" ht="11.65">
      <c r="C87" t="s" s="257">
        <v>1137</v>
      </c>
      <c r="J87" s="310">
        <f>MAX(0,J74-J85-MAX(0,-J156+J59*J71))</f>
        <v>67.04815119908096</v>
      </c>
      <c r="K87" s="310">
        <f>MAX(0,K74-K85-MAX(0,-K156+K59*K71))</f>
        <v>169.9316164542729</v>
      </c>
      <c r="L87" s="310">
        <f>MAX(0,L74-L85-MAX(0,-L156+L59*L71))</f>
        <v>202.3697722424117</v>
      </c>
      <c r="M87" s="310">
        <f>MAX(0,M74-M85-MAX(0,-M156+M59*M71))</f>
        <v>237.37931994098847</v>
      </c>
      <c r="N87" s="310">
        <f>MAX(0,N74-N85-MAX(0,-N156+N59*N71))</f>
        <v>271.2344454576516</v>
      </c>
      <c r="O87" s="310">
        <f>MAX(0,O74-O85-MAX(0,-O156+O59*O71))</f>
        <v>307.2902891606616</v>
      </c>
    </row>
    <row r="88" s="247" customFormat="1" ht="11.65">
      <c r="C88" t="s" s="257">
        <v>1802</v>
      </c>
      <c r="J88" s="310">
        <f>J87*$I$7</f>
        <v>16.76203779977024</v>
      </c>
      <c r="K88" s="310">
        <f>K87*$I$7</f>
        <v>42.482904113568225</v>
      </c>
      <c r="L88" s="310">
        <f>L87*$I$7</f>
        <v>50.592443060602925</v>
      </c>
      <c r="M88" s="310">
        <f>M87*$I$7</f>
        <v>59.34482998524712</v>
      </c>
      <c r="N88" s="310">
        <f>N87*$I$7</f>
        <v>67.8086113644129</v>
      </c>
      <c r="O88" s="310">
        <f>O87*$I$7</f>
        <v>76.8225722901654</v>
      </c>
    </row>
    <row r="89" s="247" customFormat="1" ht="11.65">
      <c r="C89" t="s" s="257">
        <v>1139</v>
      </c>
      <c r="J89" s="310">
        <f>$I$12</f>
        <v>702.3</v>
      </c>
      <c r="K89" s="310">
        <f>J91</f>
        <v>688.8903697601837</v>
      </c>
      <c r="L89" s="310">
        <f>K91</f>
        <v>654.9040464693292</v>
      </c>
      <c r="M89" s="310">
        <f>L91</f>
        <v>614.4300920208468</v>
      </c>
      <c r="N89" s="310">
        <f>M91</f>
        <v>566.9542280326491</v>
      </c>
      <c r="O89" s="310">
        <f>N91</f>
        <v>512.7073389411188</v>
      </c>
    </row>
    <row r="90" s="247" customFormat="1" ht="11.65">
      <c r="C90" t="s" s="257">
        <v>713</v>
      </c>
      <c r="J90" s="310">
        <f>-MIN(J89,J88*$I$8)</f>
        <v>-13.409630239816194</v>
      </c>
      <c r="K90" s="310">
        <f>-MIN(K89,K88*$I$8)</f>
        <v>-33.98632329085458</v>
      </c>
      <c r="L90" s="310">
        <f>-MIN(L89,L88*$I$8)</f>
        <v>-40.473954448482345</v>
      </c>
      <c r="M90" s="310">
        <f>-MIN(M89,M88*$I$8)</f>
        <v>-47.475863988197695</v>
      </c>
      <c r="N90" s="310">
        <f>-MIN(N89,N88*$I$8)</f>
        <v>-54.24688909153032</v>
      </c>
      <c r="O90" s="310">
        <f>-MIN(O89,O88*$I$8)</f>
        <v>-61.45805783213232</v>
      </c>
    </row>
    <row r="91" s="247" customFormat="1" ht="11.65">
      <c r="C91" t="s" s="257">
        <v>1140</v>
      </c>
      <c r="J91" s="310">
        <f>J89+J90</f>
        <v>688.8903697601837</v>
      </c>
      <c r="K91" s="310">
        <f>K89+K90</f>
        <v>654.9040464693292</v>
      </c>
      <c r="L91" s="310">
        <f>L89+L90</f>
        <v>614.4300920208468</v>
      </c>
      <c r="M91" s="310">
        <f>M89+M90</f>
        <v>566.9542280326491</v>
      </c>
      <c r="N91" s="310">
        <f>N89+N90</f>
        <v>512.7073389411188</v>
      </c>
      <c r="O91" s="310">
        <f>O89+O90</f>
        <v>451.24928110898645</v>
      </c>
    </row>
    <row r="92" s="265" customFormat="1" ht="11.65">
      <c r="C92" t="s" s="483">
        <v>1131</v>
      </c>
      <c r="D92" s="490"/>
      <c r="E92" s="490"/>
      <c r="F92" s="490"/>
      <c r="G92" s="490"/>
      <c r="H92" s="490"/>
      <c r="I92" s="490"/>
      <c r="J92" s="489">
        <f>J88+J90</f>
        <v>3.352407559954047</v>
      </c>
      <c r="K92" s="489">
        <f>K88+K90</f>
        <v>8.496580822713646</v>
      </c>
      <c r="L92" s="489">
        <f>L88+L90</f>
        <v>10.11848861212058</v>
      </c>
      <c r="M92" s="489">
        <f>M88+M90</f>
        <v>11.868965997049422</v>
      </c>
      <c r="N92" s="489">
        <f>N88+N90</f>
        <v>13.561722272882577</v>
      </c>
      <c r="O92" s="489">
        <f>O88+O90</f>
        <v>15.364514458033078</v>
      </c>
    </row>
    <row r="93" s="247" customFormat="1" ht="11.65"/>
    <row r="94" s="247" customFormat="1" ht="11.65">
      <c r="C94" t="s" s="257">
        <v>2179</v>
      </c>
      <c r="J94" s="325">
        <f>J72+(1-Sensitivities!$F$13)*-J59*J71</f>
        <v>107.09413020327393</v>
      </c>
      <c r="K94" s="325">
        <f>K72+(1-Sensitivities!$F$13)*-K59*K71</f>
        <v>267.57858677782514</v>
      </c>
      <c r="L94" s="325">
        <f>L72+(1-Sensitivities!$F$13)*-L59*L71</f>
        <v>317.0508281369834</v>
      </c>
      <c r="M94" s="325">
        <f>M72+(1-Sensitivities!$F$13)*-M59*M71</f>
        <v>370.3122160636275</v>
      </c>
      <c r="N94" s="325">
        <f>N72+(1-Sensitivities!$F$13)*-N59*N71</f>
        <v>421.98980837225565</v>
      </c>
      <c r="O94" s="325">
        <f>O72+(1-Sensitivities!$F$13)*-O59*O71</f>
        <v>476.9493594341168</v>
      </c>
    </row>
    <row r="95" s="247" customFormat="1" ht="11.65">
      <c r="C95" t="s" s="257">
        <v>1130</v>
      </c>
      <c r="J95" s="325">
        <f>-J92</f>
        <v>-3.352407559954047</v>
      </c>
      <c r="K95" s="325">
        <f>-K92</f>
        <v>-8.496580822713646</v>
      </c>
      <c r="L95" s="325">
        <f>-L92</f>
        <v>-10.11848861212058</v>
      </c>
      <c r="M95" s="325">
        <f>-M92</f>
        <v>-11.868965997049422</v>
      </c>
      <c r="N95" s="325">
        <f>-N92</f>
        <v>-13.561722272882577</v>
      </c>
      <c r="O95" s="325">
        <f>-O92</f>
        <v>-15.364514458033078</v>
      </c>
    </row>
    <row r="96" s="247" customFormat="1" ht="11.65">
      <c r="C96" t="s" s="257">
        <v>728</v>
      </c>
      <c r="J96" s="325">
        <f>J62*J71</f>
        <v>-8.10625756090628</v>
      </c>
      <c r="K96" s="325">
        <f>K62*K71</f>
        <v>-17.787046535209562</v>
      </c>
      <c r="L96" s="325">
        <f>L62*L71</f>
        <v>-20.031660011892786</v>
      </c>
      <c r="M96" s="325">
        <f>M62*M71</f>
        <v>-22.35921300125437</v>
      </c>
      <c r="N96" s="325">
        <f>N62*N71</f>
        <v>-24.7336208887114</v>
      </c>
      <c r="O96" s="325">
        <f>O62*O71</f>
        <v>-27.20698297758254</v>
      </c>
    </row>
    <row r="97" s="247" customFormat="1" ht="11.65">
      <c r="C97" t="s" s="257">
        <v>677</v>
      </c>
      <c r="J97" s="325">
        <f>J67*J71</f>
        <v>6.724907522993371</v>
      </c>
      <c r="K97" s="325">
        <f>K67*K71</f>
        <v>14.756037808782729</v>
      </c>
      <c r="L97" s="325">
        <f>L67*L71</f>
        <v>16.618157034842913</v>
      </c>
      <c r="M97" s="325">
        <f>M67*M71</f>
        <v>18.549082432995878</v>
      </c>
      <c r="N97" s="325">
        <f>N67*N71</f>
        <v>20.518878401732575</v>
      </c>
      <c r="O97" s="325">
        <f>O67*O71</f>
        <v>22.570766241905837</v>
      </c>
    </row>
    <row r="98" s="247" customFormat="1" ht="11.65">
      <c r="C98" t="s" s="257">
        <v>1794</v>
      </c>
      <c r="J98" s="325">
        <f>J68*J71</f>
        <v>-13.189758199176119</v>
      </c>
      <c r="K98" s="325">
        <f>K68*K71</f>
        <v>-28.941449382059652</v>
      </c>
      <c r="L98" s="325">
        <f>L68*L71</f>
        <v>-32.593678389788565</v>
      </c>
      <c r="M98" s="325">
        <f>M68*M71</f>
        <v>-36.38085895921728</v>
      </c>
      <c r="N98" s="325">
        <f>N68*N71</f>
        <v>-40.24427751783923</v>
      </c>
      <c r="O98" s="325">
        <f>O68*O71</f>
        <v>-44.268705269623155</v>
      </c>
    </row>
    <row r="99" s="247" customFormat="1" ht="11.65">
      <c r="C99" t="s" s="483">
        <v>1803</v>
      </c>
      <c r="D99" s="483"/>
      <c r="E99" s="483"/>
      <c r="F99" s="483"/>
      <c r="G99" s="483"/>
      <c r="H99" s="483"/>
      <c r="I99" s="483"/>
      <c r="J99" s="481">
        <f>SUM(J94:J98)</f>
        <v>89.17061440623087</v>
      </c>
      <c r="K99" s="481">
        <f>SUM(K94:K98)</f>
        <v>227.109547846625</v>
      </c>
      <c r="L99" s="481">
        <f>SUM(L94:L98)</f>
        <v>270.9251581580244</v>
      </c>
      <c r="M99" s="481">
        <f>SUM(M94:M98)</f>
        <v>318.2522605391023</v>
      </c>
      <c r="N99" s="481">
        <f>SUM(N94:N98)</f>
        <v>363.96906609455505</v>
      </c>
      <c r="O99" s="481">
        <f>SUM(O94:O98)</f>
        <v>412.6799229707839</v>
      </c>
    </row>
    <row r="100" s="247" customFormat="1" ht="11.65">
      <c r="C100" t="s" s="257">
        <v>1173</v>
      </c>
      <c r="J100" s="325">
        <f>-J165</f>
        <v>-82.85512428445894</v>
      </c>
      <c r="K100" s="325">
        <f>-K165</f>
        <v>-163.33929228091063</v>
      </c>
      <c r="L100" s="325">
        <f>-L165</f>
        <v>-188.17811352082558</v>
      </c>
      <c r="M100" s="325">
        <f>-M165</f>
        <v>-204.38024977381028</v>
      </c>
      <c r="N100" s="325">
        <f>-N165</f>
        <v>-193.09775921752367</v>
      </c>
      <c r="O100" s="325">
        <f>-O165</f>
        <v>-177.08005501719515</v>
      </c>
    </row>
    <row r="101" s="247" customFormat="1" ht="11.65">
      <c r="C101" t="s" s="257">
        <v>1129</v>
      </c>
      <c r="J101" s="325">
        <f>J76</f>
        <v>1.44179351954766</v>
      </c>
      <c r="K101" s="325">
        <f>K76</f>
        <v>2.784416056269291</v>
      </c>
      <c r="L101" s="325">
        <f>L76</f>
        <v>2.6475</v>
      </c>
      <c r="M101" s="325">
        <f>M76</f>
        <v>2.6475</v>
      </c>
      <c r="N101" s="325">
        <f>N76</f>
        <v>2.647499999999839</v>
      </c>
      <c r="O101" s="325">
        <f>O76</f>
        <v>2.647500002506948</v>
      </c>
    </row>
    <row r="102" s="247" customFormat="1" ht="11.65">
      <c r="C102" t="s" s="257">
        <v>1804</v>
      </c>
      <c r="J102" s="325">
        <f>J134</f>
        <v>0</v>
      </c>
      <c r="K102" s="325">
        <f>K134</f>
        <v>0</v>
      </c>
      <c r="L102" s="325">
        <f>L134</f>
        <v>0</v>
      </c>
      <c r="M102" s="325">
        <f>M134</f>
        <v>0</v>
      </c>
      <c r="N102" s="325">
        <f>N134</f>
        <v>0</v>
      </c>
      <c r="O102" s="325">
        <f>O134</f>
        <v>0</v>
      </c>
    </row>
    <row r="103" s="247" customFormat="1" ht="11.65">
      <c r="C103" t="s" s="257">
        <v>1805</v>
      </c>
      <c r="J103" s="325">
        <f>J111-Sensitivities!$F$19</f>
        <v>0</v>
      </c>
      <c r="K103" s="325">
        <f>K111-Sensitivities!$F$19</f>
        <v>7.757283641319589</v>
      </c>
      <c r="L103" s="325">
        <f>L111-Sensitivities!$F$19</f>
        <v>0</v>
      </c>
      <c r="M103" s="325">
        <f>M111-Sensitivities!$F$19</f>
        <v>0</v>
      </c>
      <c r="N103" s="325">
        <f>N111-Sensitivities!$F$19</f>
        <v>0</v>
      </c>
      <c r="O103" s="325">
        <f>O111-Sensitivities!$F$19</f>
        <v>0.00000000030522073757310864</v>
      </c>
    </row>
    <row r="104" s="247" customFormat="1" ht="11.65">
      <c r="A104" s="247"/>
      <c r="B104" s="247"/>
      <c r="C104" t="s" s="257">
        <v>2340</v>
      </c>
      <c r="D104" s="247"/>
      <c r="E104" s="247"/>
      <c r="F104" s="247"/>
      <c r="G104" s="247"/>
      <c r="H104" s="247"/>
      <c r="I104" s="247"/>
      <c r="J104" s="697">
        <f>-MAX(0,-J156+Sensitivities!$F$13*J59*J71)</f>
        <v>0</v>
      </c>
      <c r="K104" s="697">
        <f>-MAX(0,-K156+Sensitivities!$F$13*K59*K71)</f>
        <v>0</v>
      </c>
      <c r="L104" s="697">
        <f>-MAX(0,-L156+Sensitivities!$F$13*L59*L71)</f>
        <v>0</v>
      </c>
      <c r="M104" s="697">
        <f>-MAX(0,-M156+Sensitivities!$F$13*M59*M71)</f>
        <v>0</v>
      </c>
      <c r="N104" s="697">
        <f>-MAX(0,-N156+Sensitivities!$F$13*N59*N71)</f>
        <v>0</v>
      </c>
      <c r="O104" s="697">
        <f>-MAX(0,-O156+Sensitivities!$F$13*O59*O71)</f>
        <v>0</v>
      </c>
      <c r="P104" s="247"/>
      <c r="Q104" s="247"/>
      <c r="R104" s="247"/>
      <c r="S104" s="247"/>
      <c r="T104" s="247"/>
      <c r="U104" s="247"/>
    </row>
    <row r="105" s="247" customFormat="1" ht="11.65">
      <c r="C105" t="s" s="483">
        <v>1806</v>
      </c>
      <c r="D105" s="483"/>
      <c r="E105" s="483"/>
      <c r="F105" s="483"/>
      <c r="G105" s="483"/>
      <c r="H105" s="483"/>
      <c r="I105" s="483"/>
      <c r="J105" s="481">
        <f>SUM(J99:J104)</f>
        <v>7.7572836413195905</v>
      </c>
      <c r="K105" s="481">
        <f>SUM(K99:K104)</f>
        <v>74.31195526330325</v>
      </c>
      <c r="L105" s="481">
        <f>SUM(L99:L104)</f>
        <v>85.39454463719879</v>
      </c>
      <c r="M105" s="481">
        <f>SUM(M99:M104)</f>
        <v>116.519510765292</v>
      </c>
      <c r="N105" s="481">
        <f>SUM(N99:N104)</f>
        <v>173.5188068770312</v>
      </c>
      <c r="O105" s="481">
        <f>SUM(O99:O104)</f>
        <v>238.2473679564009</v>
      </c>
    </row>
    <row r="106" s="247" customFormat="1" ht="11.65">
      <c r="C106" t="s" s="257">
        <v>1807</v>
      </c>
      <c r="J106" s="325">
        <f>J125</f>
        <v>0</v>
      </c>
      <c r="K106" s="325">
        <f>K125</f>
        <v>0</v>
      </c>
      <c r="L106" s="325">
        <f>L125</f>
        <v>0</v>
      </c>
      <c r="M106" s="325">
        <f>M125</f>
        <v>0</v>
      </c>
      <c r="N106" s="325">
        <f>N125</f>
        <v>0</v>
      </c>
      <c r="O106" s="325">
        <f>O125</f>
        <v>0</v>
      </c>
    </row>
    <row r="107" s="247" customFormat="1" ht="11.65">
      <c r="C107" t="s" s="483">
        <v>1808</v>
      </c>
      <c r="D107" s="483"/>
      <c r="E107" s="483"/>
      <c r="F107" s="483"/>
      <c r="G107" s="483"/>
      <c r="H107" s="483"/>
      <c r="I107" s="483"/>
      <c r="J107" s="481">
        <f>J105+J106</f>
        <v>7.7572836413195905</v>
      </c>
      <c r="K107" s="481">
        <f>K105+K106</f>
        <v>74.31195526330325</v>
      </c>
      <c r="L107" s="481">
        <f>L105+L106</f>
        <v>85.39454463719879</v>
      </c>
      <c r="M107" s="481">
        <f>M105+M106</f>
        <v>116.519510765292</v>
      </c>
      <c r="N107" s="481">
        <f>N105+N106</f>
        <v>173.5188068770312</v>
      </c>
      <c r="O107" s="481">
        <f>O105+O106</f>
        <v>238.2473679564009</v>
      </c>
    </row>
    <row r="108" s="271" customFormat="1" ht="11.65">
      <c r="C108" t="s" s="257">
        <v>1809</v>
      </c>
      <c r="J108" s="325">
        <f>J135</f>
        <v>0</v>
      </c>
      <c r="K108" s="325">
        <f>K135</f>
        <v>-74.31195526330325</v>
      </c>
      <c r="L108" s="325">
        <f>L135</f>
        <v>-85.39454463719879</v>
      </c>
      <c r="M108" s="325">
        <f>M135</f>
        <v>-116.519510765292</v>
      </c>
      <c r="N108" s="325">
        <f>N135</f>
        <v>-173.51880687703724</v>
      </c>
      <c r="O108" s="325">
        <f>O135</f>
        <v>-238.24736793858776</v>
      </c>
    </row>
    <row r="109" s="247" customFormat="1" ht="11.65">
      <c r="C109" t="s" s="483">
        <v>1425</v>
      </c>
      <c r="D109" s="483"/>
      <c r="E109" s="483"/>
      <c r="F109" s="483"/>
      <c r="G109" s="483"/>
      <c r="H109" s="483"/>
      <c r="I109" s="483"/>
      <c r="J109" s="481">
        <f>J107+J108</f>
        <v>7.7572836413195905</v>
      </c>
      <c r="K109" s="481">
        <f>K107+K108</f>
        <v>0</v>
      </c>
      <c r="L109" s="481">
        <f>L107+L108</f>
        <v>0</v>
      </c>
      <c r="M109" s="481">
        <f>M107+M108</f>
        <v>0</v>
      </c>
      <c r="N109" s="481">
        <f>N107+N108</f>
        <v>-0.0000000000060254023992456496</v>
      </c>
      <c r="O109" s="481">
        <f>O107+O108</f>
        <v>0.00000001781313585524913</v>
      </c>
    </row>
    <row r="110" s="247" customFormat="1" ht="11.65"/>
    <row r="111" s="247" customFormat="1" ht="11.65">
      <c r="C111" t="s" s="247">
        <v>1426</v>
      </c>
      <c r="J111" s="356">
        <f>I113</f>
        <v>75</v>
      </c>
      <c r="K111" s="356">
        <f>J113</f>
        <v>82.75728364131959</v>
      </c>
      <c r="L111" s="356">
        <f>K113</f>
        <v>75</v>
      </c>
      <c r="M111" s="356">
        <f>L113</f>
        <v>75</v>
      </c>
      <c r="N111" s="356">
        <f>M113</f>
        <v>75</v>
      </c>
      <c r="O111" s="356">
        <f>N113</f>
        <v>74.9999999999909</v>
      </c>
    </row>
    <row r="112" s="247" customFormat="1" ht="11.65">
      <c r="C112" t="s" s="257">
        <v>1810</v>
      </c>
      <c r="J112" s="325">
        <f>J113-J111</f>
        <v>7.757283641319589</v>
      </c>
      <c r="K112" s="325">
        <f>K113-K111</f>
        <v>-7.757283641319589</v>
      </c>
      <c r="L112" s="325">
        <f>L113-L111</f>
        <v>0</v>
      </c>
      <c r="M112" s="325">
        <f>M113-M111</f>
        <v>0</v>
      </c>
      <c r="N112" s="325">
        <f>N113-N111</f>
        <v>-0.0000000000060254023992456496</v>
      </c>
      <c r="O112" s="325">
        <f>O113-O111</f>
        <v>0.00000001782223080226686</v>
      </c>
    </row>
    <row r="113" s="247" customFormat="1" ht="11.65">
      <c r="C113" t="s" s="483">
        <v>1428</v>
      </c>
      <c r="D113" s="483"/>
      <c r="E113" s="483"/>
      <c r="F113" s="483"/>
      <c r="G113" s="483"/>
      <c r="H113" s="483"/>
      <c r="I113" s="488">
        <f>I31</f>
        <v>75</v>
      </c>
      <c r="J113" s="481">
        <f>Sensitivities!$F$19+J109</f>
        <v>82.75728364131959</v>
      </c>
      <c r="K113" s="481">
        <f>Sensitivities!$F$19+K109</f>
        <v>75</v>
      </c>
      <c r="L113" s="481">
        <f>Sensitivities!$F$19+L109</f>
        <v>75</v>
      </c>
      <c r="M113" s="481">
        <f>Sensitivities!$F$19+M109</f>
        <v>75</v>
      </c>
      <c r="N113" s="481">
        <f>Sensitivities!$F$19+N109</f>
        <v>74.99999999999397</v>
      </c>
      <c r="O113" s="481">
        <f>Sensitivities!$F$19+O109</f>
        <v>75.00000001781314</v>
      </c>
    </row>
    <row r="114" s="247" customFormat="1" ht="11.65"/>
    <row r="115" s="247" customFormat="1" ht="11.65">
      <c r="A115" s="247"/>
      <c r="C115" t="s" s="468">
        <v>1429</v>
      </c>
      <c r="D115" s="469"/>
      <c r="E115" s="469"/>
      <c r="F115" s="469"/>
      <c r="G115" s="469"/>
      <c r="H115" s="469"/>
      <c r="I115" t="s" s="471">
        <v>974</v>
      </c>
      <c r="J115" s="471">
        <f>J$54</f>
        <v>46387</v>
      </c>
      <c r="K115" s="471">
        <f>K$54</f>
        <v>46752</v>
      </c>
      <c r="L115" s="471">
        <f>L$54</f>
        <v>47118</v>
      </c>
      <c r="M115" s="471">
        <f>M$54</f>
        <v>47483</v>
      </c>
      <c r="N115" s="471">
        <f>N$54</f>
        <v>47848</v>
      </c>
      <c r="O115" s="471">
        <f>O$54</f>
        <v>48213</v>
      </c>
      <c r="P115" s="474"/>
      <c r="Q115" s="474"/>
    </row>
    <row r="116" s="271" customFormat="1" ht="11.65">
      <c r="C116" t="s" s="269">
        <v>1811</v>
      </c>
      <c r="J116" s="357">
        <f>$E$21+Sensitivities!$F$14/10000</f>
        <v>0.0353</v>
      </c>
      <c r="K116" s="357">
        <f>$E$21+Sensitivities!$F$14/10000</f>
        <v>0.0353</v>
      </c>
      <c r="L116" s="357">
        <f>$E$21+Sensitivities!$F$14/10000</f>
        <v>0.0353</v>
      </c>
      <c r="M116" s="357">
        <f>$E$21+Sensitivities!$F$14/10000</f>
        <v>0.0353</v>
      </c>
      <c r="N116" s="357">
        <f>$E$21+Sensitivities!$F$14/10000</f>
        <v>0.0353</v>
      </c>
      <c r="O116" s="357">
        <f>$E$21+Sensitivities!$F$14/10000</f>
        <v>0.0353</v>
      </c>
    </row>
    <row r="117" s="247" customFormat="1" ht="11.65">
      <c r="C117" t="s" s="269">
        <v>1147</v>
      </c>
      <c r="J117" s="357">
        <f>MAX(J116,$I$17)</f>
        <v>0.0353</v>
      </c>
      <c r="K117" s="357">
        <f>MAX(K116,$I$17)</f>
        <v>0.0353</v>
      </c>
      <c r="L117" s="357">
        <f>MAX(L116,$I$17)</f>
        <v>0.0353</v>
      </c>
      <c r="M117" s="357">
        <f>MAX(M116,$I$17)</f>
        <v>0.0353</v>
      </c>
      <c r="N117" s="357">
        <f>MAX(N116,$I$17)</f>
        <v>0.0353</v>
      </c>
      <c r="O117" s="357">
        <f>MAX(O116,$I$17)</f>
        <v>0.0353</v>
      </c>
    </row>
    <row r="118" s="247" customFormat="1" ht="11.65">
      <c r="C118" t="s" s="269">
        <v>1148</v>
      </c>
      <c r="J118" s="357">
        <f>$H$17</f>
        <v>0.045</v>
      </c>
      <c r="K118" s="357">
        <f>$H$17-IF(J163&lt;=$E$25,$E$24,0)</f>
        <v>0.045</v>
      </c>
      <c r="L118" s="357">
        <f>$H$17-IF(K163&lt;=$E$25,$E$24,0)</f>
        <v>0.042499999999999996</v>
      </c>
      <c r="M118" s="357">
        <f>$H$17-IF(L163&lt;=$E$25,$E$24,0)</f>
        <v>0.042499999999999996</v>
      </c>
      <c r="N118" s="357">
        <f>$H$17-IF(M163&lt;=$E$25,$E$24,0)</f>
        <v>0.042499999999999996</v>
      </c>
      <c r="O118" s="357">
        <f>$H$17-IF(N163&lt;=$E$25,$E$24,0)</f>
        <v>0.042499999999999996</v>
      </c>
    </row>
    <row r="119" ht="13.5" customHeight="1">
      <c r="C119" t="s" s="269">
        <v>1149</v>
      </c>
      <c r="J119" s="358">
        <f>Sensitivities!$F$15*MAX(0,MIN(J$54,$I$24)-MAX($E$4,EDATE(J$54,-12)))/(J$54-MAX($E$4,EDATE(J$54,-12)))</f>
        <v>1</v>
      </c>
      <c r="K119" s="358">
        <f>Sensitivities!$F$15*MAX(0,MIN(K$54,$I$24)-MAX($E$4,EDATE(K$54,-12)))/(K$54-MAX($E$4,EDATE(K$54,-12)))</f>
        <v>1</v>
      </c>
      <c r="L119" s="358">
        <f>Sensitivities!$F$15*MAX(0,MIN(L$54,$I$24)-MAX($E$4,EDATE(L$54,-12)))/(L$54-MAX($E$4,EDATE(L$54,-12)))</f>
        <v>0.48360655737704916</v>
      </c>
      <c r="M119" s="358">
        <f>Sensitivities!$F$15*MAX(0,MIN(M$54,$I$24)-MAX($E$4,EDATE(M$54,-12)))/(M$54-MAX($E$4,EDATE(M$54,-12)))</f>
        <v>0</v>
      </c>
      <c r="N119" s="358">
        <f>Sensitivities!$F$15*MAX(0,MIN(N$54,$I$24)-MAX($E$4,EDATE(N$54,-12)))/(N$54-MAX($E$4,EDATE(N$54,-12)))</f>
        <v>0</v>
      </c>
      <c r="O119" s="358">
        <f>Sensitivities!$F$15*MAX(0,MIN(O$54,$I$24)-MAX($E$4,EDATE(O$54,-12)))/(O$54-MAX($E$4,EDATE(O$54,-12)))</f>
        <v>0</v>
      </c>
    </row>
    <row r="120" s="247" customFormat="1" ht="11.65">
      <c r="C120" t="s" s="269">
        <v>1150</v>
      </c>
      <c r="J120" s="357">
        <f>J117+J118*(1-$I$21*J119)</f>
        <v>0.0578</v>
      </c>
      <c r="K120" s="357">
        <f>K117+K118*(1-$I$21*K119)</f>
        <v>0.0578</v>
      </c>
      <c r="L120" s="357">
        <f>L117+L118*(1-$I$21*L119)</f>
        <v>0.06752336065573769</v>
      </c>
      <c r="M120" s="357">
        <f>M117+M118*(1-$I$21*M119)</f>
        <v>0.0778</v>
      </c>
      <c r="N120" s="357">
        <f>N117+N118*(1-$I$21*N119)</f>
        <v>0.0778</v>
      </c>
      <c r="O120" s="357">
        <f>O117+O118*(1-$I$21*O119)</f>
        <v>0.0778</v>
      </c>
    </row>
    <row r="121" s="247" customFormat="1" ht="11.65">
      <c r="C121" t="s" s="269">
        <v>1151</v>
      </c>
      <c r="J121" s="357">
        <f>($I$21*J118+$I$22)*J119</f>
        <v>0.024999999999999998</v>
      </c>
      <c r="K121" s="357">
        <f>($I$21*K118+$I$22)*K119</f>
        <v>0.024999999999999998</v>
      </c>
      <c r="L121" s="357">
        <f>($I$21*L118+$I$22)*L119</f>
        <v>0.011485655737704915</v>
      </c>
      <c r="M121" s="357">
        <f>($I$21*M118+$I$22)*M119</f>
        <v>0</v>
      </c>
      <c r="N121" s="357">
        <f>($I$21*N118+$I$22)*N119</f>
        <v>0</v>
      </c>
      <c r="O121" s="357">
        <f>($I$21*O118+$I$22)*O119</f>
        <v>0</v>
      </c>
    </row>
    <row r="122" s="247" customFormat="1" ht="11.65"/>
    <row r="123" s="247" customFormat="1" ht="11.65">
      <c r="C123" t="s" s="272">
        <v>1101</v>
      </c>
    </row>
    <row r="124" s="247" customFormat="1" ht="11.65">
      <c r="C124" t="s" s="257">
        <v>1431</v>
      </c>
      <c r="J124" s="325">
        <f>I126</f>
        <v>0</v>
      </c>
      <c r="K124" s="325">
        <f>J126</f>
        <v>0</v>
      </c>
      <c r="L124" s="325">
        <f>K126</f>
        <v>0</v>
      </c>
      <c r="M124" s="325">
        <f>L126</f>
        <v>0</v>
      </c>
      <c r="N124" s="325">
        <f>M126</f>
        <v>0</v>
      </c>
      <c r="O124" s="325">
        <f>N126</f>
        <v>0</v>
      </c>
    </row>
    <row r="125" s="247" customFormat="1" ht="11.65">
      <c r="C125" t="s" s="257">
        <v>1812</v>
      </c>
      <c r="J125" s="325">
        <f>MAX(-J124,MIN($E$16-J124,-(J99+J100+J101+J102+J103+J104)))</f>
        <v>0</v>
      </c>
      <c r="K125" s="325">
        <f>MAX(-K124,MIN($E$16-K124,-(K99+K100+K101+K102+K103+K104)))</f>
        <v>0</v>
      </c>
      <c r="L125" s="325">
        <f>MAX(-L124,MIN($E$16-L124,-(L99+L100+L101+L102+L103+L104)))</f>
        <v>0</v>
      </c>
      <c r="M125" s="325">
        <f>MAX(-M124,MIN($E$16-M124,-(M99+M100+M101+M102+M103+M104)))</f>
        <v>0</v>
      </c>
      <c r="N125" s="325">
        <f>MAX(-N124,MIN($E$16-N124,-(N99+N100+N101+N102+N103+N104)))</f>
        <v>0</v>
      </c>
      <c r="O125" s="325">
        <f>MAX(-O124,MIN($E$16-O124,-(O99+O100+O101+O102+O103+O104)))</f>
        <v>0</v>
      </c>
    </row>
    <row r="126" s="247" customFormat="1" ht="11.65">
      <c r="C126" t="s" s="483">
        <v>1432</v>
      </c>
      <c r="D126" s="483"/>
      <c r="E126" s="483"/>
      <c r="F126" s="483"/>
      <c r="G126" s="483"/>
      <c r="H126" s="483"/>
      <c r="I126" s="481">
        <f>E29</f>
        <v>0</v>
      </c>
      <c r="J126" s="481">
        <f>J124+J125</f>
        <v>0</v>
      </c>
      <c r="K126" s="481">
        <f>K124+K125</f>
        <v>0</v>
      </c>
      <c r="L126" s="481">
        <f>L124+L125</f>
        <v>0</v>
      </c>
      <c r="M126" s="481">
        <f>M124+M125</f>
        <v>0</v>
      </c>
      <c r="N126" s="481">
        <f>N124+N125</f>
        <v>0</v>
      </c>
      <c r="O126" s="481">
        <f>O124+O125</f>
        <v>0</v>
      </c>
    </row>
    <row r="127" s="247" customFormat="1" ht="12.75" customHeight="1">
      <c r="C127" t="s" s="257">
        <v>1433</v>
      </c>
      <c r="J127" s="310">
        <f>$E$9*AVERAGE(J124,J126)*(J117+J118)*J71</f>
        <v>0</v>
      </c>
      <c r="K127" s="310">
        <f>$E$9*AVERAGE(K124,K126)*(K117+K118)*K71</f>
        <v>0</v>
      </c>
      <c r="L127" s="310">
        <f>$E$9*AVERAGE(L124,L126)*(L117+L118)*L71</f>
        <v>0</v>
      </c>
      <c r="M127" s="310">
        <f>$E$9*AVERAGE(M124,M126)*(M117+M118)*M71</f>
        <v>0</v>
      </c>
      <c r="N127" s="310">
        <f>$E$9*AVERAGE(N124,N126)*(N117+N118)*N71</f>
        <v>0</v>
      </c>
      <c r="O127" s="310">
        <f>$E$9*AVERAGE(O124,O126)*(O117+O118)*O71</f>
        <v>0</v>
      </c>
    </row>
    <row r="128">
      <c r="C128" t="s" s="269">
        <v>1813</v>
      </c>
      <c r="J128" s="359">
        <f>$D$16-$M$21*(I163&lt;=$M$22)-$M$21*(I163&lt;=$M$23)</f>
        <v>0.005</v>
      </c>
      <c r="K128" s="359">
        <f>$D$16-$M$21*(J163&lt;=$M$22)-$M$21*(J163&lt;=$M$23)</f>
        <v>0.005</v>
      </c>
      <c r="L128" s="359">
        <f>$D$16-$M$21*(K163&lt;=$M$22)-$M$21*(K163&lt;=$M$23)</f>
        <v>0.0024999999999999996</v>
      </c>
      <c r="M128" s="359">
        <f>$D$16-$M$21*(L163&lt;=$M$22)-$M$21*(L163&lt;=$M$23)</f>
        <v>0.0024999999999999996</v>
      </c>
      <c r="N128" s="359">
        <f>$D$16-$M$21*(M163&lt;=$M$22)-$M$21*(M163&lt;=$M$23)</f>
        <v>0.0024999999999999996</v>
      </c>
      <c r="O128" s="359">
        <f>$D$16-$M$21*(N163&lt;=$M$22)-$M$21*(N163&lt;=$M$23)</f>
        <v>0.0024999999999999996</v>
      </c>
    </row>
    <row r="129" s="271" customFormat="1" ht="11.65">
      <c r="C129" t="s" s="257">
        <v>1434</v>
      </c>
      <c r="J129" s="310">
        <f>$E$9*($E$16-AVERAGE(J124,J126))*J128*J71</f>
        <v>0.8414383561643836</v>
      </c>
      <c r="K129" s="310">
        <f>$E$9*($E$16-AVERAGE(K124,K126))*K128*K71</f>
        <v>1.625</v>
      </c>
      <c r="L129" s="310">
        <f>$E$9*($E$16-AVERAGE(L124,L126))*L128*L71</f>
        <v>0.8124999999999999</v>
      </c>
      <c r="M129" s="310">
        <f>$E$9*($E$16-AVERAGE(M124,M126))*M128*M71</f>
        <v>0.8124999999999999</v>
      </c>
      <c r="N129" s="310">
        <f>$E$9*($E$16-AVERAGE(N124,N126))*N128*N71</f>
        <v>0.8124999999999999</v>
      </c>
      <c r="O129" s="310">
        <f>$E$9*($E$16-AVERAGE(O124,O126))*O128*O71</f>
        <v>0.8124999999999999</v>
      </c>
    </row>
    <row r="130" s="265" customFormat="1" ht="11.65"/>
    <row r="131" s="247" customFormat="1" ht="11.65">
      <c r="C131" t="s" s="272">
        <v>1435</v>
      </c>
    </row>
    <row r="132" s="247" customFormat="1" ht="11.65">
      <c r="C132" t="s" s="257">
        <v>1431</v>
      </c>
      <c r="J132" s="325">
        <f>I136</f>
        <v>2700</v>
      </c>
      <c r="K132" s="325">
        <f>J136</f>
        <v>2735.179759401606</v>
      </c>
      <c r="L132" s="325">
        <f>K136</f>
        <v>2729.1722036767824</v>
      </c>
      <c r="M132" s="325">
        <f>L136</f>
        <v>2674.811809030593</v>
      </c>
      <c r="N132" s="325">
        <f>M136</f>
        <v>2558.292298265301</v>
      </c>
      <c r="O132" s="325">
        <f>N136</f>
        <v>2384.7734913882637</v>
      </c>
    </row>
    <row r="133" s="247" customFormat="1" ht="11.65">
      <c r="C133" t="s" s="257">
        <v>1814</v>
      </c>
      <c r="J133" s="325">
        <f>$E$9*AVERAGE(J132,J136)*J121*J71</f>
        <v>35.17975940160628</v>
      </c>
      <c r="K133" s="325">
        <f>$E$9*AVERAGE(K132,K136)*K121*K71</f>
        <v>68.30439953847986</v>
      </c>
      <c r="L133" s="325">
        <f>$E$9*AVERAGE(L132,L136)*L121*L71</f>
        <v>31.034149991009045</v>
      </c>
      <c r="M133" s="325">
        <f>$E$9*AVERAGE(M132,M136)*M121*M71</f>
        <v>0</v>
      </c>
      <c r="N133" s="325">
        <f>$E$9*AVERAGE(N132,N136)*N121*N71</f>
        <v>0</v>
      </c>
      <c r="O133" s="325">
        <f>$E$9*AVERAGE(O132,O136)*O121*O71</f>
        <v>0</v>
      </c>
    </row>
    <row r="134" s="247" customFormat="1" ht="11.65">
      <c r="C134" t="s" s="257">
        <v>1815</v>
      </c>
      <c r="J134" s="325">
        <f>-MIN($J$17*$F$17*J71,J132)</f>
        <v>0</v>
      </c>
      <c r="K134" s="325">
        <f>-MIN($J$17*$F$17*K71,K132)</f>
        <v>0</v>
      </c>
      <c r="L134" s="325">
        <f>-MIN($J$17*$F$17*L71,L132)</f>
        <v>0</v>
      </c>
      <c r="M134" s="325">
        <f>-MIN($J$17*$F$17*M71,M132)</f>
        <v>0</v>
      </c>
      <c r="N134" s="325">
        <f>-MIN($J$17*$F$17*N71,N132)</f>
        <v>0</v>
      </c>
      <c r="O134" s="325">
        <f>-MIN($J$17*$F$17*O71,O132)</f>
        <v>0</v>
      </c>
    </row>
    <row r="135" s="247" customFormat="1" ht="11.65">
      <c r="C135" t="s" s="257">
        <v>1816</v>
      </c>
      <c r="J135" s="325">
        <f>-IF(J$54&gt;=$M$12,MAX(0,MIN(J107*$M$9,J132+J133+J134)),0)</f>
        <v>0</v>
      </c>
      <c r="K135" s="325">
        <f>-IF(K$54&gt;=$M$12,MAX(0,MIN(K107*$M$9,K132+K133+K134)),0)</f>
        <v>-74.31195526330325</v>
      </c>
      <c r="L135" s="325">
        <f>-IF(L$54&gt;=$M$12,MAX(0,MIN(L107*$M$9,L132+L133+L134)),0)</f>
        <v>-85.39454463719879</v>
      </c>
      <c r="M135" s="325">
        <f>-IF(M$54&gt;=$M$12,MAX(0,MIN(M107*$M$9,M132+M133+M134)),0)</f>
        <v>-116.519510765292</v>
      </c>
      <c r="N135" s="325">
        <f>-IF(N$54&gt;=$M$12,MAX(0,MIN(N107*$M$9,N132+N133+N134)),0)</f>
        <v>-173.5188068770312</v>
      </c>
      <c r="O135" s="325">
        <f>-IF(O$54&gt;=$M$12,MAX(0,MIN(O107*$M$9,O132+O133+O134)),0)</f>
        <v>-238.2473679564009</v>
      </c>
    </row>
    <row r="136" s="247" customFormat="1" ht="11.65">
      <c r="C136" t="s" s="483">
        <v>1432</v>
      </c>
      <c r="D136" s="483"/>
      <c r="E136" s="483"/>
      <c r="F136" s="483"/>
      <c r="G136" s="483"/>
      <c r="H136" s="483"/>
      <c r="I136" s="481">
        <f>E30</f>
        <v>2700</v>
      </c>
      <c r="J136" s="481">
        <f>SUM(J132:J135)</f>
        <v>2735.179759401606</v>
      </c>
      <c r="K136" s="481">
        <f>SUM(K132:K135)</f>
        <v>2729.1722036767824</v>
      </c>
      <c r="L136" s="481">
        <f>SUM(L132:L135)</f>
        <v>2674.811809030593</v>
      </c>
      <c r="M136" s="481">
        <f>SUM(M132:M135)</f>
        <v>2558.292298265301</v>
      </c>
      <c r="N136" s="481">
        <f>SUM(N132:N135)</f>
        <v>2384.7734913882696</v>
      </c>
      <c r="O136" s="481">
        <f>SUM(O132:O135)</f>
        <v>2146.5261234318627</v>
      </c>
    </row>
    <row r="137" s="247" customFormat="1" ht="11.65">
      <c r="C137" t="s" s="257">
        <v>1817</v>
      </c>
      <c r="J137" s="310">
        <f>$E$9*AVERAGE(J132,J136)*J120*J71</f>
        <v>81.33560373651373</v>
      </c>
      <c r="K137" s="310">
        <f>$E$9*AVERAGE(K132,K136)*K120*K71</f>
        <v>157.91977173296542</v>
      </c>
      <c r="L137" s="310">
        <f>$E$9*AVERAGE(L132,L136)*L120*L71</f>
        <v>182.44758073394033</v>
      </c>
      <c r="M137" s="310">
        <f>$E$9*AVERAGE(M132,M136)*M120*M71</f>
        <v>203.56774977381028</v>
      </c>
      <c r="N137" s="310">
        <f>$E$9*AVERAGE(N132,N136)*N120*N71</f>
        <v>192.28525921752387</v>
      </c>
      <c r="O137" s="310">
        <f>$E$9*AVERAGE(O132,O136)*O120*O71</f>
        <v>176.2675550165029</v>
      </c>
    </row>
    <row r="138" s="271" customFormat="1" ht="11.65"/>
    <row r="139" s="271" customFormat="1" ht="11.65">
      <c r="C139" t="s" s="272">
        <v>1818</v>
      </c>
    </row>
    <row r="140" s="271" customFormat="1" ht="11.65">
      <c r="C140" t="s" s="257">
        <v>1431</v>
      </c>
      <c r="J140" s="325">
        <f>I142</f>
        <v>0</v>
      </c>
      <c r="K140" s="325">
        <f>J142</f>
        <v>0</v>
      </c>
      <c r="L140" s="325">
        <f>K142</f>
        <v>0</v>
      </c>
      <c r="M140" s="325">
        <f>L142</f>
        <v>0</v>
      </c>
      <c r="N140" s="325">
        <f>M142</f>
        <v>0</v>
      </c>
      <c r="O140" s="325">
        <f>N142</f>
        <v>0</v>
      </c>
    </row>
    <row r="141" ht="13.5" customHeight="1">
      <c r="C141" t="s" s="257">
        <v>1162</v>
      </c>
      <c r="J141" s="360">
        <v>0</v>
      </c>
      <c r="K141" s="360">
        <v>0</v>
      </c>
      <c r="L141" s="360">
        <v>0</v>
      </c>
      <c r="M141" s="360">
        <v>0</v>
      </c>
      <c r="N141" s="360">
        <v>0</v>
      </c>
      <c r="O141" s="360">
        <v>0</v>
      </c>
    </row>
    <row r="142">
      <c r="C142" t="s" s="483">
        <v>1432</v>
      </c>
      <c r="D142" s="486"/>
      <c r="E142" s="486"/>
      <c r="F142" s="486"/>
      <c r="G142" s="486"/>
      <c r="H142" s="486"/>
      <c r="I142" s="481">
        <f>E31</f>
        <v>0</v>
      </c>
      <c r="J142" s="481">
        <f>J140+J141</f>
        <v>0</v>
      </c>
      <c r="K142" s="481">
        <f>K140+K141</f>
        <v>0</v>
      </c>
      <c r="L142" s="481">
        <f>L140+L141</f>
        <v>0</v>
      </c>
      <c r="M142" s="481">
        <f>M140+M141</f>
        <v>0</v>
      </c>
      <c r="N142" s="481">
        <f>N140+N141</f>
        <v>0</v>
      </c>
      <c r="O142" s="481">
        <f>O140+O141</f>
        <v>0</v>
      </c>
    </row>
    <row r="143" ht="13.5" customHeight="1">
      <c r="C143" t="s" s="257">
        <v>1163</v>
      </c>
      <c r="J143" s="325">
        <f>IF(MAX($E$4,EDATE(J$54,-12))&lt;$I$25,$E$18-J142,0)</f>
        <v>500</v>
      </c>
      <c r="K143" s="325">
        <f>IF(MAX($E$4,EDATE(K$54,-12))&lt;$I$25,$E$18-K142,0)</f>
        <v>500</v>
      </c>
      <c r="L143" s="325">
        <f>IF(MAX($E$4,EDATE(L$54,-12))&lt;$I$25,$E$18-L142,0)</f>
        <v>500</v>
      </c>
      <c r="M143" s="325">
        <f>IF(MAX($E$4,EDATE(M$54,-12))&lt;$I$25,$E$18-M142,0)</f>
        <v>0</v>
      </c>
      <c r="N143" s="325">
        <f>IF(MAX($E$4,EDATE(N$54,-12))&lt;$I$25,$E$18-N142,0)</f>
        <v>0</v>
      </c>
      <c r="O143" s="325">
        <f>IF(MAX($E$4,EDATE(O$54,-12))&lt;$I$25,$E$18-O142,0)</f>
        <v>0</v>
      </c>
    </row>
    <row r="144" ht="13.5" customHeight="1">
      <c r="C144" t="s" s="269">
        <v>1819</v>
      </c>
      <c r="J144" s="359">
        <f>($M$24*MAX(0,MIN(EDATE($E$4,12),J$54)-MAX($E$4+$M$26,MAX($E$4,EDATE(J$54,-12))))+$M$25*MAX(0,MIN($I$25,J$54)-MAX(EDATE($E$4,12),MAX($E$4,EDATE(J$54,-12)))))/(J$54-MAX($E$4,EDATE(J$54,-12)))</f>
        <v>0.002619047619047619</v>
      </c>
      <c r="K144" s="359">
        <f>($M$24*MAX(0,MIN(EDATE($E$4,12),K$54)-MAX($E$4+$M$26,MAX($E$4,EDATE(K$54,-12))))+$M$25*MAX(0,MIN($I$25,K$54)-MAX(EDATE($E$4,12),MAX($E$4,EDATE(K$54,-12)))))/(K$54-MAX($E$4,EDATE(K$54,-12)))</f>
        <v>0.007589041095890411</v>
      </c>
      <c r="L144" s="359">
        <f>($M$24*MAX(0,MIN(EDATE($E$4,12),L$54)-MAX($E$4+$M$26,MAX($E$4,EDATE(L$54,-12))))+$M$25*MAX(0,MIN($I$25,L$54)-MAX(EDATE($E$4,12),MAX($E$4,EDATE(L$54,-12)))))/(L$54-MAX($E$4,EDATE(L$54,-12)))</f>
        <v>0.009836065573770493</v>
      </c>
      <c r="M144" s="359">
        <f>($M$24*MAX(0,MIN(EDATE($E$4,12),M$54)-MAX($E$4+$M$26,MAX($E$4,EDATE(M$54,-12))))+$M$25*MAX(0,MIN($I$25,M$54)-MAX(EDATE($E$4,12),MAX($E$4,EDATE(M$54,-12)))))/(M$54-MAX($E$4,EDATE(M$54,-12)))</f>
        <v>0</v>
      </c>
      <c r="N144" s="359">
        <f>($M$24*MAX(0,MIN(EDATE($E$4,12),N$54)-MAX($E$4+$M$26,MAX($E$4,EDATE(N$54,-12))))+$M$25*MAX(0,MIN($I$25,N$54)-MAX(EDATE($E$4,12),MAX($E$4,EDATE(N$54,-12)))))/(N$54-MAX($E$4,EDATE(N$54,-12)))</f>
        <v>0</v>
      </c>
      <c r="O144" s="359">
        <f>($M$24*MAX(0,MIN(EDATE($E$4,12),O$54)-MAX($E$4+$M$26,MAX($E$4,EDATE(O$54,-12))))+$M$25*MAX(0,MIN($I$25,O$54)-MAX(EDATE($E$4,12),MAX($E$4,EDATE(O$54,-12)))))/(O$54-MAX($E$4,EDATE(O$54,-12)))</f>
        <v>0</v>
      </c>
    </row>
    <row r="145" ht="13.5" customHeight="1">
      <c r="C145" t="s" s="257">
        <v>1434</v>
      </c>
      <c r="J145" s="310">
        <f>$E$9*J143*J144*J71</f>
        <v>0.6780821917808219</v>
      </c>
      <c r="K145" s="310">
        <f>$E$9*K143*K144*K71</f>
        <v>3.7945205479452055</v>
      </c>
      <c r="L145" s="310">
        <f>$E$9*L143*L144*L71</f>
        <v>4.918032786885246</v>
      </c>
      <c r="M145" s="310">
        <f>$E$9*M143*M144*M71</f>
        <v>0</v>
      </c>
      <c r="N145" s="310">
        <f>$E$9*N143*N144*N71</f>
        <v>0</v>
      </c>
      <c r="O145" s="310">
        <f>$E$9*O143*O144*O71</f>
        <v>0</v>
      </c>
    </row>
    <row r="146" ht="13.5" customHeight="1">
      <c r="C146" t="s" s="257">
        <v>1817</v>
      </c>
      <c r="J146" s="310">
        <f>$E$9*AVERAGE(J140,J142)*J120*J71</f>
        <v>0</v>
      </c>
      <c r="K146" s="310">
        <f>$E$9*AVERAGE(K140,K142)*K120*K71</f>
        <v>0</v>
      </c>
      <c r="L146" s="310">
        <f>$E$9*AVERAGE(L140,L142)*L120*L71</f>
        <v>0</v>
      </c>
      <c r="M146" s="310">
        <f>$E$9*AVERAGE(M140,M142)*M120*M71</f>
        <v>0</v>
      </c>
      <c r="N146" s="310">
        <f>$E$9*AVERAGE(N140,N142)*N120*N71</f>
        <v>0</v>
      </c>
      <c r="O146" s="310">
        <f>$E$9*AVERAGE(O140,O142)*O120*O71</f>
        <v>0</v>
      </c>
    </row>
    <row r="147" ht="13.5" customHeight="1"/>
    <row r="148" ht="13.5" customHeight="1">
      <c r="C148" t="s" s="272">
        <v>1820</v>
      </c>
    </row>
    <row r="149" ht="13.5" customHeight="1">
      <c r="C149" t="s" s="257">
        <v>1431</v>
      </c>
      <c r="J149" s="310">
        <f>I151</f>
        <v>54</v>
      </c>
      <c r="K149" s="310">
        <f>J151</f>
        <v>50.00547945205479</v>
      </c>
      <c r="L149" s="310">
        <f>K151</f>
        <v>42.29119373776908</v>
      </c>
      <c r="M149" s="310">
        <f>L151</f>
        <v>34.57690802348336</v>
      </c>
      <c r="N149" s="310">
        <f>M151</f>
        <v>26.862622309197647</v>
      </c>
      <c r="O149" s="310">
        <f>N151</f>
        <v>19.14833659491193</v>
      </c>
    </row>
    <row r="150" ht="13.5" customHeight="1">
      <c r="C150" t="s" s="257">
        <v>694</v>
      </c>
      <c r="J150" s="310">
        <f>-MIN(J149,$I$151/$K$17*J71)</f>
        <v>-3.9945205479452053</v>
      </c>
      <c r="K150" s="310">
        <f>-MIN(K149,$I$151/$K$17*K71)</f>
        <v>-7.714285714285714</v>
      </c>
      <c r="L150" s="310">
        <f>-MIN(L149,$I$151/$K$17*L71)</f>
        <v>-7.714285714285714</v>
      </c>
      <c r="M150" s="310">
        <f>-MIN(M149,$I$151/$K$17*M71)</f>
        <v>-7.714285714285714</v>
      </c>
      <c r="N150" s="310">
        <f>-MIN(N149,$I$151/$K$17*N71)</f>
        <v>-7.714285714285714</v>
      </c>
      <c r="O150" s="310">
        <f>-MIN(O149,$I$151/$K$17*O71)</f>
        <v>-7.714285714285714</v>
      </c>
    </row>
    <row r="151" ht="13.5" customHeight="1">
      <c r="C151" t="s" s="483">
        <v>1432</v>
      </c>
      <c r="D151" s="486"/>
      <c r="E151" s="486"/>
      <c r="F151" s="486"/>
      <c r="G151" s="486"/>
      <c r="H151" s="486"/>
      <c r="I151" s="489">
        <f>I33</f>
        <v>54</v>
      </c>
      <c r="J151" s="489">
        <f>J149+J150</f>
        <v>50.00547945205479</v>
      </c>
      <c r="K151" s="489">
        <f>K149+K150</f>
        <v>42.29119373776908</v>
      </c>
      <c r="L151" s="489">
        <f>L149+L150</f>
        <v>34.57690802348336</v>
      </c>
      <c r="M151" s="489">
        <f>M149+M150</f>
        <v>26.862622309197647</v>
      </c>
      <c r="N151" s="489">
        <f>N149+N150</f>
        <v>19.14833659491193</v>
      </c>
      <c r="O151" s="489">
        <f>O149+O150</f>
        <v>11.434050880626216</v>
      </c>
    </row>
    <row r="152" ht="13.5" customHeight="1">
      <c r="C152" s="483"/>
      <c r="D152" s="486"/>
      <c r="E152" s="486"/>
      <c r="F152" s="486"/>
      <c r="G152" s="486"/>
      <c r="H152" s="486"/>
      <c r="I152" s="489"/>
      <c r="J152" s="489"/>
      <c r="K152" s="489"/>
      <c r="L152" s="489"/>
      <c r="M152" s="489"/>
      <c r="N152" s="489"/>
      <c r="O152" s="489"/>
    </row>
    <row r="153" ht="13.5" customHeight="1">
      <c r="A153" s="257"/>
      <c r="B153" s="257"/>
      <c r="C153" t="s" s="272">
        <v>2341</v>
      </c>
      <c r="D153" s="257"/>
      <c r="E153" s="257"/>
      <c r="F153" s="257"/>
      <c r="G153" s="257"/>
      <c r="H153" s="257"/>
      <c r="I153" s="257"/>
      <c r="J153" s="257"/>
      <c r="K153" s="257"/>
      <c r="L153" s="257"/>
      <c r="M153" s="257"/>
      <c r="N153" s="257"/>
      <c r="O153" s="257"/>
      <c r="P153" s="257"/>
      <c r="Q153" s="257"/>
      <c r="R153" s="257"/>
      <c r="S153" s="257"/>
      <c r="T153" s="257"/>
      <c r="U153" s="257"/>
    </row>
    <row r="154" ht="13.5" customHeight="1">
      <c r="A154" s="257"/>
      <c r="B154" s="257"/>
      <c r="C154" t="s" s="257">
        <v>2299</v>
      </c>
      <c r="D154" s="257"/>
      <c r="E154" s="257"/>
      <c r="F154" s="257"/>
      <c r="G154" s="257"/>
      <c r="H154" s="257"/>
      <c r="I154" s="257"/>
      <c r="J154" s="715">
        <f>MAX(0,MIN(J$54,$I$10)-MAX($E$4,EDATE(J$54,-12)))/($I$10-$E$4)</f>
        <v>0.17244525547445255</v>
      </c>
      <c r="K154" s="715">
        <f>MAX(0,MIN(K$54,$I$10)-MAX($E$4,EDATE(K$54,-12)))/($I$10-$E$4)</f>
        <v>0.333029197080292</v>
      </c>
      <c r="L154" s="715">
        <f>MAX(0,MIN(L$54,$I$10)-MAX($E$4,EDATE(L$54,-12)))/($I$10-$E$4)</f>
        <v>0.33394160583941607</v>
      </c>
      <c r="M154" s="715">
        <f>MAX(0,MIN(M$54,$I$10)-MAX($E$4,EDATE(M$54,-12)))/($I$10-$E$4)</f>
        <v>0.16058394160583941</v>
      </c>
      <c r="N154" s="715">
        <f>MAX(0,MIN(N$54,$I$10)-MAX($E$4,EDATE(N$54,-12)))/($I$10-$E$4)</f>
        <v>0</v>
      </c>
      <c r="O154" s="715">
        <f>MAX(0,MIN(O$54,$I$10)-MAX($E$4,EDATE(O$54,-12)))/($I$10-$E$4)</f>
        <v>0</v>
      </c>
      <c r="P154" s="257"/>
      <c r="Q154" s="257"/>
      <c r="R154" s="257"/>
      <c r="S154" s="257"/>
      <c r="T154" s="257"/>
      <c r="U154" s="257"/>
    </row>
    <row r="155" ht="13.5" customHeight="1">
      <c r="A155" s="257"/>
      <c r="B155" s="257"/>
      <c r="C155" t="s" s="257">
        <v>1431</v>
      </c>
      <c r="D155" s="257"/>
      <c r="E155" s="257"/>
      <c r="F155" s="257"/>
      <c r="G155" s="257"/>
      <c r="H155" s="257"/>
      <c r="I155" s="257"/>
      <c r="J155" s="703">
        <f>I157</f>
        <v>197.8695799799986</v>
      </c>
      <c r="K155" s="703">
        <f>J157</f>
        <v>163.74790970972512</v>
      </c>
      <c r="L155" s="703">
        <f>K157</f>
        <v>97.85156236237157</v>
      </c>
      <c r="M155" s="703">
        <f>L157</f>
        <v>31.774677077080057</v>
      </c>
      <c r="N155" s="703">
        <f>M157</f>
        <v>0</v>
      </c>
      <c r="O155" s="703">
        <f>N157</f>
        <v>0</v>
      </c>
      <c r="P155" s="257"/>
      <c r="Q155" s="257"/>
      <c r="R155" s="257"/>
      <c r="S155" s="257"/>
      <c r="T155" s="257"/>
      <c r="U155" s="257"/>
    </row>
    <row r="156" ht="13.5" customHeight="1">
      <c r="A156" s="257"/>
      <c r="B156" s="257"/>
      <c r="C156" t="s" s="257">
        <v>2342</v>
      </c>
      <c r="D156" s="257"/>
      <c r="E156" s="257"/>
      <c r="F156" s="257"/>
      <c r="G156" s="257"/>
      <c r="H156" s="257"/>
      <c r="I156" s="257"/>
      <c r="J156" s="703">
        <f>-$I$157*J154</f>
        <v>-34.12167027027348</v>
      </c>
      <c r="K156" s="703">
        <f>-$I$157*K154</f>
        <v>-65.89634734735355</v>
      </c>
      <c r="L156" s="703">
        <f>-$I$157*L154</f>
        <v>-66.07688528529151</v>
      </c>
      <c r="M156" s="703">
        <f>-$I$157*M154</f>
        <v>-31.774677077080067</v>
      </c>
      <c r="N156" s="703">
        <f>-$I$157*N154</f>
        <v>0</v>
      </c>
      <c r="O156" s="703">
        <f>-$I$157*O154</f>
        <v>0</v>
      </c>
      <c r="P156" s="257"/>
      <c r="Q156" s="257"/>
      <c r="R156" s="257"/>
      <c r="S156" s="257"/>
      <c r="T156" s="257"/>
      <c r="U156" s="257"/>
    </row>
    <row r="157" ht="13.5" customHeight="1">
      <c r="A157" s="257"/>
      <c r="B157" s="257"/>
      <c r="C157" t="s" s="706">
        <v>1432</v>
      </c>
      <c r="D157" s="707"/>
      <c r="E157" s="707"/>
      <c r="F157" s="707"/>
      <c r="G157" s="707"/>
      <c r="H157" s="707"/>
      <c r="I157" s="714">
        <f>G48</f>
        <v>197.8695799799986</v>
      </c>
      <c r="J157" s="714">
        <f>J155+J156</f>
        <v>163.74790970972512</v>
      </c>
      <c r="K157" s="714">
        <f>K155+K156</f>
        <v>97.85156236237157</v>
      </c>
      <c r="L157" s="714">
        <f>L155+L156</f>
        <v>31.774677077080057</v>
      </c>
      <c r="M157" s="714">
        <f>M155+M156</f>
        <v>0</v>
      </c>
      <c r="N157" s="714">
        <f>N155+N156</f>
        <v>0</v>
      </c>
      <c r="O157" s="714">
        <f>O155+O156</f>
        <v>0</v>
      </c>
      <c r="P157" s="257"/>
      <c r="Q157" s="257"/>
      <c r="R157" s="257"/>
      <c r="S157" s="257"/>
      <c r="T157" s="257"/>
      <c r="U157" s="257"/>
    </row>
    <row r="158" ht="13.5" customHeight="1">
      <c r="A158" s="257"/>
      <c r="B158" s="257"/>
      <c r="C158" t="s" s="256">
        <v>2301</v>
      </c>
      <c r="D158" s="257"/>
      <c r="E158" s="257"/>
      <c r="F158" s="257"/>
      <c r="G158" s="257"/>
      <c r="H158" s="257"/>
      <c r="I158" s="257"/>
      <c r="J158" s="703">
        <f>J157*(1-$I$7)</f>
        <v>122.81093228229383</v>
      </c>
      <c r="K158" s="703">
        <f>K157*(1-$I$7)</f>
        <v>73.38867177177868</v>
      </c>
      <c r="L158" s="703">
        <f>L157*(1-$I$7)</f>
        <v>23.831007807810042</v>
      </c>
      <c r="M158" s="703">
        <f>M157*(1-$I$7)</f>
        <v>0</v>
      </c>
      <c r="N158" s="703">
        <f>N157*(1-$I$7)</f>
        <v>0</v>
      </c>
      <c r="O158" s="703">
        <f>O157*(1-$I$7)</f>
        <v>0</v>
      </c>
      <c r="P158" s="257"/>
      <c r="Q158" s="257"/>
      <c r="R158" s="257"/>
      <c r="S158" s="257"/>
      <c r="T158" s="257"/>
      <c r="U158" s="257"/>
    </row>
    <row r="159" ht="13.5" customHeight="1">
      <c r="C159" t="s" s="256">
        <v>2343</v>
      </c>
      <c r="D159" s="257"/>
      <c r="E159" s="257"/>
      <c r="F159" s="257"/>
      <c r="G159" s="257"/>
      <c r="H159" s="257"/>
      <c r="I159" s="257"/>
      <c r="J159" s="703">
        <f>MAX(0,-Sensitivities!$F$13*J59*J71+J156)</f>
        <v>32.10392972972652</v>
      </c>
      <c r="K159" s="703">
        <f>MAX(0,-Sensitivities!$F$13*K59*K71+K156)</f>
        <v>61.999652652646446</v>
      </c>
      <c r="L159" s="703">
        <f>MAX(0,-Sensitivities!$F$13*L59*L71+L156)</f>
        <v>69.88895038544807</v>
      </c>
      <c r="M159" s="703">
        <f>MAX(0,-Sensitivities!$F$13*M59*M71+M156)</f>
        <v>112.09034635639583</v>
      </c>
      <c r="N159" s="703">
        <f>MAX(0,-Sensitivities!$F$13*N59*N71+N156)</f>
        <v>151.50380406386913</v>
      </c>
      <c r="O159" s="703">
        <f>MAX(0,-Sensitivities!$F$13*O59*O71+O156)</f>
        <v>159.0789942670626</v>
      </c>
    </row>
    <row r="160" ht="13.5" customHeight="1">
      <c r="C160" t="s" s="271">
        <v>1437</v>
      </c>
    </row>
    <row r="161" ht="13.5" customHeight="1">
      <c r="C161" t="s" s="254">
        <v>1821</v>
      </c>
      <c r="I161" s="361">
        <f>I126+I136+I142</f>
        <v>2700</v>
      </c>
      <c r="J161" s="361">
        <f>J126+J136+J142</f>
        <v>2735.179759401606</v>
      </c>
      <c r="K161" s="361">
        <f>K126+K136+K142</f>
        <v>2729.1722036767824</v>
      </c>
      <c r="L161" s="361">
        <f>L126+L136+L142</f>
        <v>2674.811809030593</v>
      </c>
      <c r="M161" s="361">
        <f>M126+M136+M142</f>
        <v>2558.292298265301</v>
      </c>
      <c r="N161" s="361">
        <f>N126+N136+N142</f>
        <v>2384.7734913882696</v>
      </c>
      <c r="O161" s="361">
        <f>O126+O136+O142</f>
        <v>2146.5261234318627</v>
      </c>
    </row>
    <row r="162" ht="13.5" customHeight="1">
      <c r="C162" t="s" s="254">
        <v>1439</v>
      </c>
      <c r="I162" s="361">
        <f>I161-I113</f>
        <v>2625</v>
      </c>
      <c r="J162" s="361">
        <f>J161-J113</f>
        <v>2652.4224757602865</v>
      </c>
      <c r="K162" s="361">
        <f>K161-K113</f>
        <v>2654.1722036767824</v>
      </c>
      <c r="L162" s="361">
        <f>L161-L113</f>
        <v>2599.811809030593</v>
      </c>
      <c r="M162" s="361">
        <f>M161-M113</f>
        <v>2483.292298265301</v>
      </c>
      <c r="N162" s="361">
        <f>N161-N113</f>
        <v>2309.7734913882755</v>
      </c>
      <c r="O162" s="361">
        <f>O161-O113</f>
        <v>2071.52612341405</v>
      </c>
    </row>
    <row r="163" ht="13.5" customHeight="1">
      <c r="C163" t="s" s="254">
        <v>1822</v>
      </c>
      <c r="I163" s="362">
        <f>I162/$U$20</f>
        <v>9.356787681120675</v>
      </c>
      <c r="J163" s="362">
        <f>J162/J57</f>
        <v>7.9243497383162325</v>
      </c>
      <c r="K163" s="362">
        <f>K162/K57</f>
        <v>6.711359698993447</v>
      </c>
      <c r="L163" s="362">
        <f>L162/L57</f>
        <v>5.738887808626062</v>
      </c>
      <c r="M163" s="362">
        <f>M162/M57</f>
        <v>4.829642596965419</v>
      </c>
      <c r="N163" s="362">
        <f>N162/N57</f>
        <v>4.027548766544521</v>
      </c>
      <c r="O163" s="362">
        <f>O162/O57</f>
        <v>3.25697134626061</v>
      </c>
    </row>
    <row r="164" ht="13.5" customHeight="1">
      <c r="C164" t="s" s="254">
        <v>1823</v>
      </c>
      <c r="I164" s="362">
        <f>I161/$U$20</f>
        <v>9.624124472009838</v>
      </c>
      <c r="J164" s="362">
        <f>J161/J57</f>
        <v>8.171594536217018</v>
      </c>
      <c r="K164" s="362">
        <f>K161/K57</f>
        <v>6.901005260320336</v>
      </c>
      <c r="L164" s="362">
        <f>L161/L57</f>
        <v>5.904444632451494</v>
      </c>
      <c r="M164" s="362">
        <f>M161/M57</f>
        <v>4.975506696421386</v>
      </c>
      <c r="N164" s="362">
        <f>N161/N57</f>
        <v>4.15832616035263</v>
      </c>
      <c r="O164" s="362">
        <f>O161/O57</f>
        <v>3.3748906175971354</v>
      </c>
    </row>
    <row r="165" ht="13.5" customHeight="1">
      <c r="C165" t="s" s="254">
        <v>1824</v>
      </c>
      <c r="J165" s="361">
        <f>J127+J129+J137+J145+J146</f>
        <v>82.85512428445894</v>
      </c>
      <c r="K165" s="361">
        <f>K127+K129+K137+K145+K146</f>
        <v>163.33929228091063</v>
      </c>
      <c r="L165" s="361">
        <f>L127+L129+L137+L145+L146</f>
        <v>188.17811352082558</v>
      </c>
      <c r="M165" s="361">
        <f>M127+M129+M137+M145+M146</f>
        <v>204.38024977381028</v>
      </c>
      <c r="N165" s="361">
        <f>N127+N129+N137+N145+N146</f>
        <v>193.09775921752387</v>
      </c>
      <c r="O165" s="361">
        <f>O127+O129+O137+O145+O146</f>
        <v>177.0800550165029</v>
      </c>
    </row>
    <row r="166" ht="13.5" customHeight="1">
      <c r="C166" t="s" s="254">
        <v>1825</v>
      </c>
      <c r="J166" s="361">
        <f>J133</f>
        <v>35.17975940160628</v>
      </c>
      <c r="K166" s="361">
        <f>K133</f>
        <v>68.30439953847986</v>
      </c>
      <c r="L166" s="361">
        <f>L133</f>
        <v>31.034149991009045</v>
      </c>
      <c r="M166" s="361">
        <f>M133</f>
        <v>0</v>
      </c>
      <c r="N166" s="361">
        <f>N133</f>
        <v>0</v>
      </c>
      <c r="O166" s="361">
        <f>O133</f>
        <v>0</v>
      </c>
    </row>
    <row r="167" ht="13.5" customHeight="1">
      <c r="C167" t="s" s="254">
        <v>1826</v>
      </c>
      <c r="J167" s="361">
        <f>-J150</f>
        <v>3.9945205479452053</v>
      </c>
      <c r="K167" s="361">
        <f>-K150</f>
        <v>7.714285714285714</v>
      </c>
      <c r="L167" s="361">
        <f>-L150</f>
        <v>7.714285714285714</v>
      </c>
      <c r="M167" s="361">
        <f>-M150</f>
        <v>7.714285714285714</v>
      </c>
      <c r="N167" s="361">
        <f>-N150</f>
        <v>7.714285714285714</v>
      </c>
      <c r="O167" s="361">
        <f>-O150</f>
        <v>7.714285714285714</v>
      </c>
    </row>
    <row r="168" ht="13.5" customHeight="1">
      <c r="C168" t="s" s="491">
        <v>1442</v>
      </c>
      <c r="D168" s="486"/>
      <c r="E168" s="486"/>
      <c r="F168" s="486"/>
      <c r="G168" s="486"/>
      <c r="H168" s="486"/>
      <c r="I168" s="486"/>
      <c r="J168" s="492">
        <f>SUM(J165:J167)</f>
        <v>122.02940423401043</v>
      </c>
      <c r="K168" s="492">
        <f>SUM(K165:K167)</f>
        <v>239.3579775336762</v>
      </c>
      <c r="L168" s="492">
        <f>SUM(L165:L167)</f>
        <v>226.92654922612036</v>
      </c>
      <c r="M168" s="492">
        <f>SUM(M165:M167)</f>
        <v>212.094535488096</v>
      </c>
      <c r="N168" s="492">
        <f>SUM(N165:N167)</f>
        <v>200.8120449318096</v>
      </c>
      <c r="O168" s="492">
        <f>SUM(O165:O167)</f>
        <v>184.79434073078863</v>
      </c>
    </row>
    <row r="169">
      <c r="C169" t="s" s="254">
        <v>1827</v>
      </c>
      <c r="J169" s="361">
        <f>$E$9*AVERAGE(J111,J113)*$I$26*J71</f>
        <v>1.44179351954766</v>
      </c>
      <c r="K169" s="361">
        <f>$E$9*AVERAGE(K111,K113)*$I$26*K71</f>
        <v>2.784416056269291</v>
      </c>
      <c r="L169" s="361">
        <f>$E$9*AVERAGE(L111,L113)*$I$26*L71</f>
        <v>2.6475</v>
      </c>
      <c r="M169" s="361">
        <f>$E$9*AVERAGE(M111,M113)*$I$26*M71</f>
        <v>2.6475</v>
      </c>
      <c r="N169" s="361">
        <f>$E$9*AVERAGE(N111,N113)*$I$26*N71</f>
        <v>2.6474999999998934</v>
      </c>
      <c r="O169" s="361">
        <f>$E$9*AVERAGE(O111,O113)*$I$26*O71</f>
        <v>2.647500000314241</v>
      </c>
    </row>
    <row r="170">
      <c r="C170" t="s" s="254">
        <v>1828</v>
      </c>
      <c r="J170" s="312">
        <f>J57*J71/J165</f>
        <v>2.0918408088826363</v>
      </c>
      <c r="K170" s="312">
        <f>K57*K71/K165</f>
        <v>2.4211846473394085</v>
      </c>
      <c r="L170" s="312">
        <f>L57*L71/L165</f>
        <v>2.4073823216300223</v>
      </c>
      <c r="M170" s="312">
        <f>M57*M71/M165</f>
        <v>2.515787313432431</v>
      </c>
      <c r="N170" s="312">
        <f>N57*N71/N165</f>
        <v>2.969965134551802</v>
      </c>
      <c r="O170" s="312">
        <f>O57*O71/O165</f>
        <v>3.591756020416331</v>
      </c>
    </row>
    <row r="171">
      <c r="C171" t="s" s="254">
        <v>1829</v>
      </c>
      <c r="J171" s="365">
        <f>1-J161/$I$161</f>
        <v>-0.013029540519113425</v>
      </c>
      <c r="K171" s="365">
        <f>1-K161/$I$161</f>
        <v>-0.010804519880289742</v>
      </c>
      <c r="L171" s="365">
        <f>1-L161/$I$161</f>
        <v>0.009328959618298938</v>
      </c>
      <c r="M171" s="365">
        <f>1-M161/$I$161</f>
        <v>0.052484333975814534</v>
      </c>
      <c r="N171" s="365">
        <f>1-N161/$I$161</f>
        <v>0.11675055874508533</v>
      </c>
      <c r="O171" s="365">
        <f>1-O161/$I$161</f>
        <v>0.20499032465486566</v>
      </c>
    </row>
    <row r="173">
      <c r="A173" s="257"/>
      <c r="C173" t="s" s="468">
        <v>1830</v>
      </c>
      <c r="D173" s="469"/>
      <c r="E173" s="469"/>
      <c r="F173" s="469"/>
      <c r="G173" s="469"/>
      <c r="H173" s="469"/>
      <c r="I173" s="469"/>
      <c r="J173" s="469"/>
      <c r="K173" s="471">
        <f>K$54</f>
        <v>46752</v>
      </c>
      <c r="L173" s="471">
        <f>L$54</f>
        <v>47118</v>
      </c>
      <c r="M173" s="471">
        <f>M$54</f>
        <v>47483</v>
      </c>
      <c r="N173" s="471">
        <f>N$54</f>
        <v>47848</v>
      </c>
      <c r="O173" s="471">
        <f>O$54</f>
        <v>48213</v>
      </c>
      <c r="P173" s="472"/>
      <c r="Q173" s="472"/>
    </row>
    <row r="174">
      <c r="C174" t="s" s="269">
        <v>1201</v>
      </c>
      <c r="K174" s="354">
        <f>YEARFRAC($E$4,K$54,1)</f>
        <v>1.5178082191780822</v>
      </c>
      <c r="L174" s="354">
        <f>YEARFRAC($E$4,L$54,1)</f>
        <v>2.5182481751824817</v>
      </c>
      <c r="M174" s="354">
        <f>YEARFRAC($E$4,M$54,1)</f>
        <v>3.5181382614647503</v>
      </c>
      <c r="N174" s="354">
        <f>YEARFRAC($E$4,N$54,1)</f>
        <v>4.518072289156627</v>
      </c>
      <c r="O174" s="354"/>
    </row>
    <row r="176">
      <c r="C176" t="s" s="257">
        <v>1921</v>
      </c>
      <c r="K176" s="361">
        <f>L57</f>
        <v>453.016663807723</v>
      </c>
      <c r="L176" s="361">
        <f>M57</f>
        <v>514.1772394971034</v>
      </c>
      <c r="M176" s="361">
        <f>N57</f>
        <v>573.4936124361247</v>
      </c>
      <c r="N176" s="361">
        <f>O57</f>
        <v>636.0283537011794</v>
      </c>
      <c r="O176" t="s" s="426">
        <v>1923</v>
      </c>
    </row>
    <row r="177">
      <c r="C177" t="s" s="257">
        <v>1922</v>
      </c>
      <c r="K177" s="312">
        <f>$U$26</f>
        <v>25.041255617597592</v>
      </c>
      <c r="L177" s="312">
        <f>$U$26</f>
        <v>25.041255617597592</v>
      </c>
      <c r="M177" s="312">
        <f>$U$26</f>
        <v>25.041255617597592</v>
      </c>
      <c r="N177" s="312">
        <f>$U$26</f>
        <v>25.041255617597592</v>
      </c>
      <c r="O177" s="312"/>
    </row>
    <row r="178">
      <c r="C178" t="s" s="483">
        <v>1448</v>
      </c>
      <c r="D178" s="486"/>
      <c r="E178" s="486"/>
      <c r="F178" s="486"/>
      <c r="G178" s="486"/>
      <c r="H178" s="486"/>
      <c r="I178" s="486"/>
      <c r="J178" s="486"/>
      <c r="K178" s="489">
        <f>K176*K177</f>
        <v>11344.106077440463</v>
      </c>
      <c r="L178" s="489">
        <f>L176*L177</f>
        <v>12875.643686997664</v>
      </c>
      <c r="M178" s="489">
        <f>M176*M177</f>
        <v>14361.000144072445</v>
      </c>
      <c r="N178" s="489">
        <f>N176*N177</f>
        <v>15926.948585071008</v>
      </c>
      <c r="O178" s="489"/>
    </row>
    <row r="179">
      <c r="C179" t="s" s="257">
        <v>1832</v>
      </c>
      <c r="K179" s="366">
        <f>-K161</f>
        <v>-2729.1722036767824</v>
      </c>
      <c r="L179" s="366">
        <f>-L161</f>
        <v>-2674.811809030593</v>
      </c>
      <c r="M179" s="366">
        <f>-M161</f>
        <v>-2558.292298265301</v>
      </c>
      <c r="N179" s="366">
        <f>-N161</f>
        <v>-2384.7734913882696</v>
      </c>
      <c r="O179" s="366"/>
    </row>
    <row r="180">
      <c r="C180" t="s" s="257">
        <v>1204</v>
      </c>
      <c r="K180" s="366">
        <f>K113</f>
        <v>75</v>
      </c>
      <c r="L180" s="366">
        <f>L113</f>
        <v>75</v>
      </c>
      <c r="M180" s="366">
        <f>M113</f>
        <v>75</v>
      </c>
      <c r="N180" s="366">
        <f>N113</f>
        <v>74.99999999999397</v>
      </c>
      <c r="O180" s="366"/>
    </row>
    <row r="181">
      <c r="A181" s="257"/>
      <c r="B181" s="257"/>
      <c r="C181" t="s" s="257">
        <v>2302</v>
      </c>
      <c r="D181" s="257"/>
      <c r="E181" s="257"/>
      <c r="F181" s="257"/>
      <c r="G181" s="257"/>
      <c r="H181" s="257"/>
      <c r="I181" s="257"/>
      <c r="J181" s="257"/>
      <c r="K181" s="716">
        <f>-K158</f>
        <v>-73.38867177177868</v>
      </c>
      <c r="L181" s="716">
        <f>-L158</f>
        <v>-23.831007807810042</v>
      </c>
      <c r="M181" s="716">
        <f>-M158</f>
        <v>0</v>
      </c>
      <c r="N181" s="716">
        <f>-N158</f>
        <v>0</v>
      </c>
      <c r="O181" s="716"/>
      <c r="P181" s="257"/>
      <c r="Q181" s="257"/>
      <c r="R181" s="257"/>
      <c r="S181" s="257"/>
      <c r="T181" s="257"/>
      <c r="U181" s="257"/>
    </row>
    <row r="182">
      <c r="C182" t="s" s="483">
        <v>1450</v>
      </c>
      <c r="D182" s="486"/>
      <c r="E182" s="486"/>
      <c r="F182" s="486"/>
      <c r="G182" s="486"/>
      <c r="H182" s="486"/>
      <c r="I182" s="486"/>
      <c r="J182" s="486"/>
      <c r="K182" s="489">
        <f>SUM(K178:K181)</f>
        <v>8616.545201991903</v>
      </c>
      <c r="L182" s="489">
        <f>SUM(L178:L181)</f>
        <v>10252.000870159261</v>
      </c>
      <c r="M182" s="489">
        <f>SUM(M178:M181)</f>
        <v>11877.707845807145</v>
      </c>
      <c r="N182" s="489">
        <f>SUM(N178:N181)</f>
        <v>13617.175093682732</v>
      </c>
      <c r="O182" s="489"/>
    </row>
    <row r="183">
      <c r="C183" s="257"/>
      <c r="K183" s="366"/>
      <c r="L183" s="366"/>
      <c r="M183" s="366"/>
      <c r="N183" s="366"/>
      <c r="O183" s="366"/>
    </row>
    <row r="184">
      <c r="C184" t="s" s="483">
        <v>1908</v>
      </c>
      <c r="D184" s="486"/>
      <c r="E184" s="486"/>
      <c r="F184" s="486"/>
      <c r="G184" s="486"/>
      <c r="H184" s="486"/>
      <c r="I184" s="486"/>
      <c r="J184" s="486"/>
      <c r="K184" s="489">
        <f>K182</f>
        <v>8616.545201991903</v>
      </c>
      <c r="L184" s="489">
        <f>L182</f>
        <v>10252.000870159261</v>
      </c>
      <c r="M184" s="489">
        <f>M182</f>
        <v>11877.707845807145</v>
      </c>
      <c r="N184" s="489">
        <f>N182</f>
        <v>13617.175093682732</v>
      </c>
      <c r="O184" s="489"/>
    </row>
    <row r="185">
      <c r="C185" t="s" s="257">
        <v>1835</v>
      </c>
      <c r="K185" s="366">
        <f>$E$34</f>
        <v>5737.031985790003</v>
      </c>
      <c r="L185" s="366">
        <f>$E$34</f>
        <v>5737.031985790003</v>
      </c>
      <c r="M185" s="366">
        <f>$E$34</f>
        <v>5737.031985790003</v>
      </c>
      <c r="N185" s="366">
        <f>$E$34</f>
        <v>5737.031985790003</v>
      </c>
      <c r="O185" s="366"/>
    </row>
    <row r="187">
      <c r="C187" t="s" s="480">
        <v>1451</v>
      </c>
      <c r="D187" s="493"/>
      <c r="E187" s="493"/>
      <c r="F187" s="493"/>
      <c r="G187" s="493"/>
      <c r="H187" s="493"/>
      <c r="I187" s="493"/>
      <c r="J187" s="493"/>
      <c r="K187" s="494">
        <f>(K184/K185)^(1/K174)-1</f>
        <v>0.307320965922542</v>
      </c>
      <c r="L187" s="494">
        <f>(L184/L185)^(1/L174)-1</f>
        <v>0.2592668149868673</v>
      </c>
      <c r="M187" s="494">
        <f>(M184/M185)^(1/M174)-1</f>
        <v>0.22979614912512192</v>
      </c>
      <c r="N187" s="494">
        <f>(N184/N185)^(1/N174)-1</f>
        <v>0.21084479191093441</v>
      </c>
      <c r="O187" s="494"/>
    </row>
    <row r="188">
      <c r="C188" t="s" s="496">
        <v>1452</v>
      </c>
      <c r="D188" s="497"/>
      <c r="E188" s="497"/>
      <c r="F188" s="497"/>
      <c r="G188" s="497"/>
      <c r="H188" s="497"/>
      <c r="I188" s="497"/>
      <c r="J188" s="497"/>
      <c r="K188" s="498">
        <f>K184/K185</f>
        <v>1.5019168837360741</v>
      </c>
      <c r="L188" s="498">
        <f>L184/L185</f>
        <v>1.7869868767600285</v>
      </c>
      <c r="M188" s="498">
        <f>M184/M185</f>
        <v>2.0703576126517893</v>
      </c>
      <c r="N188" s="498">
        <f>N184/N185</f>
        <v>2.3735574644539157</v>
      </c>
      <c r="O188" s="498"/>
    </row>
    <row r="190">
      <c r="C190" t="s" s="272">
        <v>1836</v>
      </c>
    </row>
    <row r="191">
      <c r="C191" t="str" s="427">
        <f>"Sponsor equity supportable at "&amp;TEXT($M$5,"0.0%")&amp;" IRR"</f>
        <v>Sponsor equity supportable at 20.0% IRR</v>
      </c>
      <c r="K191" s="366">
        <f>K182/(1+$M$5)^K174</f>
        <v>6533.580171920951</v>
      </c>
      <c r="L191" s="366">
        <f>L182/(1+$M$5)^L174</f>
        <v>6477.547494706336</v>
      </c>
      <c r="M191" s="366">
        <f>M182/(1+$M$5)^M174</f>
        <v>6254.060346164918</v>
      </c>
      <c r="N191" s="366">
        <f>N182/(1+$M$5)^N174</f>
        <v>5975.03465054722</v>
      </c>
      <c r="O191" s="366"/>
    </row>
    <row r="192">
      <c r="C192" t="str" s="451">
        <f>"Price per share at "&amp;TEXT($M$5,"0.0%")&amp;" IRR"</f>
        <v>Price per share at 20.0% IRR</v>
      </c>
      <c r="D192" s="486"/>
      <c r="E192" s="486"/>
      <c r="F192" s="486"/>
      <c r="G192" s="486"/>
      <c r="H192" s="486"/>
      <c r="I192" s="486"/>
      <c r="J192" s="486"/>
      <c r="K192" s="495">
        <f>(K191+$U$24*($E$45+$E$46+$E$47*(1-$I$11))*IFERROR(K$158/$I$157,0)/(1+$M$5)^K$174-($I$30+$I$31+$I$32+$I$33-SUM($E$29:$E$33))+($U$8*$U$9-$U$31*$U$32))/($E$41+$E$43+$E$44+$E$47*$I$11+$U$33+($E$45+$E$46+$E$47*(1-$I$11))*IFERROR(K$158/$I$157,0)/(1+$M$5)^K$174)</f>
        <v>27.135620193144927</v>
      </c>
      <c r="L192" s="495">
        <f>(L191+$U$24*($E$45+$E$46+$E$47*(1-$I$11))*IFERROR(L$158/$I$157,0)/(1+$M$5)^L$174-($I$30+$I$31+$I$32+$I$33-SUM($E$29:$E$33))+($U$8*$U$9-$U$31*$U$32))/($E$41+$E$43+$E$44+$E$47*$I$11+$U$33+($E$45+$E$46+$E$47*(1-$I$11))*IFERROR(L$158/$I$157,0)/(1+$M$5)^L$174)</f>
        <v>26.966706657343714</v>
      </c>
      <c r="M192" s="495">
        <f>(M191+$U$24*($E$45+$E$46+$E$47*(1-$I$11))*IFERROR(M$158/$I$157,0)/(1+$M$5)^M$174-($I$30+$I$31+$I$32+$I$33-SUM($E$29:$E$33))+($U$8*$U$9-$U$31*$U$32))/($E$41+$E$43+$E$44+$E$47*$I$11+$U$33+($E$45+$E$46+$E$47*(1-$I$11))*IFERROR(M$158/$I$157,0)/(1+$M$5)^M$174)</f>
        <v>26.240730205608532</v>
      </c>
      <c r="N192" s="495">
        <f>(N191+$U$24*($E$45+$E$46+$E$47*(1-$I$11))*IFERROR(N$158/$I$157,0)/(1+$M$5)^N$174-($I$30+$I$31+$I$32+$I$33-SUM($E$29:$E$33))+($U$8*$U$9-$U$31*$U$32))/($E$41+$E$43+$E$44+$E$47*$I$11+$U$33+($E$45+$E$46+$E$47*(1-$I$11))*IFERROR(N$158/$I$157,0)/(1+$M$5)^N$174)</f>
        <v>25.32829056423241</v>
      </c>
      <c r="O192" s="495"/>
    </row>
    <row r="193">
      <c r="C193" t="str" s="427">
        <f>"Sponsor equity supportable at "&amp;TEXT($M$6,"0.0%")&amp;" IRR"</f>
        <v>Sponsor equity supportable at 22.5% IRR</v>
      </c>
      <c r="K193" s="366">
        <f>K182/(1+$M$6)^K174</f>
        <v>6332.270968936413</v>
      </c>
      <c r="L193" s="366">
        <f>L182/(1+$M$6)^L174</f>
        <v>6149.78722287984</v>
      </c>
      <c r="M193" s="366">
        <f>M182/(1+$M$6)^M174</f>
        <v>5816.445899200769</v>
      </c>
      <c r="N193" s="366">
        <f>N182/(1+$M$6)^N174</f>
        <v>5443.544803366115</v>
      </c>
      <c r="O193" s="366"/>
    </row>
    <row r="194">
      <c r="C194" t="str" s="451">
        <f>"Price per share at "&amp;TEXT($M$6,"0.0%")&amp;" IRR"</f>
        <v>Price per share at 22.5% IRR</v>
      </c>
      <c r="D194" s="486"/>
      <c r="E194" s="486"/>
      <c r="F194" s="486"/>
      <c r="G194" s="486"/>
      <c r="H194" s="486"/>
      <c r="I194" s="486"/>
      <c r="J194" s="486"/>
      <c r="K194" s="495">
        <f>(K193+$U$24*($E$45+$E$46+$E$47*(1-$I$11))*IFERROR(K$158/$I$157,0)/(1+$M$6)^K$174-($I$30+$I$31+$I$32+$I$33-SUM($E$29:$E$33))+($U$8*$U$9-$U$31*$U$32))/($E$41+$E$43+$E$44+$E$47*$I$11+$U$33+($E$45+$E$46+$E$47*(1-$I$11))*IFERROR(K$158/$I$157,0)/(1+$M$6)^K$174)</f>
        <v>26.482602387629083</v>
      </c>
      <c r="L194" s="495">
        <f>(L193+$U$24*($E$45+$E$46+$E$47*(1-$I$11))*IFERROR(L$158/$I$157,0)/(1+$M$6)^L$174-($I$30+$I$31+$I$32+$I$33-SUM($E$29:$E$33))+($U$8*$U$9-$U$31*$U$32))/($E$41+$E$43+$E$44+$E$47*$I$11+$U$33+($E$45+$E$46+$E$47*(1-$I$11))*IFERROR(L$158/$I$157,0)/(1+$M$6)^L$174)</f>
        <v>25.897182275430243</v>
      </c>
      <c r="M194" s="495">
        <f>(M193+$U$24*($E$45+$E$46+$E$47*(1-$I$11))*IFERROR(M$158/$I$157,0)/(1+$M$6)^M$174-($I$30+$I$31+$I$32+$I$33-SUM($E$29:$E$33))+($U$8*$U$9-$U$31*$U$32))/($E$41+$E$43+$E$44+$E$47*$I$11+$U$33+($E$45+$E$46+$E$47*(1-$I$11))*IFERROR(M$158/$I$157,0)/(1+$M$6)^M$174)</f>
        <v>24.809690787661637</v>
      </c>
      <c r="N194" s="495">
        <f>(N193+$U$24*($E$45+$E$46+$E$47*(1-$I$11))*IFERROR(N$158/$I$157,0)/(1+$M$6)^N$174-($I$30+$I$31+$I$32+$I$33-SUM($E$29:$E$33))+($U$8*$U$9-$U$31*$U$32))/($E$41+$E$43+$E$44+$E$47*$I$11+$U$33+($E$45+$E$46+$E$47*(1-$I$11))*IFERROR(N$158/$I$157,0)/(1+$M$6)^N$174)</f>
        <v>23.590269969091864</v>
      </c>
      <c r="O194" s="495"/>
    </row>
    <row r="195">
      <c r="C195" t="str" s="427">
        <f>"Sponsor equity supportable at "&amp;TEXT($M$7,"0.0%")&amp;" IRR"</f>
        <v>Sponsor equity supportable at 25.0% IRR</v>
      </c>
      <c r="K195" s="366">
        <f>K182/(1+$M$7)^K174</f>
        <v>6141.04608296023</v>
      </c>
      <c r="L195" s="366">
        <f>L182/(1+$M$7)^L174</f>
        <v>5844.7396552017635</v>
      </c>
      <c r="M195" s="366">
        <f>M182/(1+$M$7)^M174</f>
        <v>5417.386412146489</v>
      </c>
      <c r="N195" s="366">
        <f>N182/(1+$M$7)^N174</f>
        <v>4968.674850236652</v>
      </c>
      <c r="O195" s="366"/>
    </row>
    <row r="196">
      <c r="C196" t="str" s="451">
        <f>"Price per share at "&amp;TEXT($M$7,"0.0%")&amp;" IRR"</f>
        <v>Price per share at 25.0% IRR</v>
      </c>
      <c r="D196" s="486"/>
      <c r="E196" s="486"/>
      <c r="F196" s="486"/>
      <c r="G196" s="486"/>
      <c r="H196" s="486"/>
      <c r="I196" s="486"/>
      <c r="J196" s="486"/>
      <c r="K196" s="495">
        <f>(K195+$U$24*($E$45+$E$46+$E$47*(1-$I$11))*IFERROR(K$158/$I$157,0)/(1+$M$7)^K$174-($I$30+$I$31+$I$32+$I$33-SUM($E$29:$E$33))+($U$8*$U$9-$U$31*$U$32))/($E$41+$E$43+$E$44+$E$47*$I$11+$U$33+($E$45+$E$46+$E$47*(1-$I$11))*IFERROR(K$158/$I$157,0)/(1+$M$7)^K$174)</f>
        <v>25.862022311969046</v>
      </c>
      <c r="L196" s="495">
        <f>(L195+$U$24*($E$45+$E$46+$E$47*(1-$I$11))*IFERROR(L$158/$I$157,0)/(1+$M$7)^L$174-($I$30+$I$31+$I$32+$I$33-SUM($E$29:$E$33))+($U$8*$U$9-$U$31*$U$32))/($E$41+$E$43+$E$44+$E$47*$I$11+$U$33+($E$45+$E$46+$E$47*(1-$I$11))*IFERROR(L$158/$I$157,0)/(1+$M$7)^L$174)</f>
        <v>24.901577715992612</v>
      </c>
      <c r="M196" s="495">
        <f>(M195+$U$24*($E$45+$E$46+$E$47*(1-$I$11))*IFERROR(M$158/$I$157,0)/(1+$M$7)^M$174-($I$30+$I$31+$I$32+$I$33-SUM($E$29:$E$33))+($U$8*$U$9-$U$31*$U$32))/($E$41+$E$43+$E$44+$E$47*$I$11+$U$33+($E$45+$E$46+$E$47*(1-$I$11))*IFERROR(M$158/$I$157,0)/(1+$M$7)^M$174)</f>
        <v>23.50472962826206</v>
      </c>
      <c r="N196" s="495">
        <f>(N195+$U$24*($E$45+$E$46+$E$47*(1-$I$11))*IFERROR(N$158/$I$157,0)/(1+$M$7)^N$174-($I$30+$I$31+$I$32+$I$33-SUM($E$29:$E$33))+($U$8*$U$9-$U$31*$U$32))/($E$41+$E$43+$E$44+$E$47*$I$11+$U$33+($E$45+$E$46+$E$47*(1-$I$11))*IFERROR(N$158/$I$157,0)/(1+$M$7)^N$174)</f>
        <v>22.037401625642207</v>
      </c>
      <c r="O196" s="495"/>
    </row>
    <row r="197">
      <c r="C197" t="str" s="288">
        <f>"Premium / (discount) to offer at "&amp;TEXT($M$6,"0.0%")&amp;" IRR"</f>
        <v>Premium / (discount) to offer at 22.5% IRR</v>
      </c>
      <c r="K197" s="352">
        <f>K194/$E$5-1</f>
        <v>0.07872107485250845</v>
      </c>
      <c r="L197" s="352">
        <f>L194/$E$5-1</f>
        <v>0.05487504176905267</v>
      </c>
      <c r="M197" s="352">
        <f>M194/$E$5-1</f>
        <v>0.010578036157296689</v>
      </c>
      <c r="N197" s="352">
        <f>N194/$E$5-1</f>
        <v>-0.03909287294941499</v>
      </c>
      <c r="O197" s="352"/>
    </row>
    <row r="199">
      <c r="C199" t="s" s="272">
        <v>1840</v>
      </c>
    </row>
    <row r="200">
      <c r="C200" t="s" s="257">
        <v>1216</v>
      </c>
      <c r="I200" s="370">
        <f>$E$4</f>
        <v>46198</v>
      </c>
      <c r="J200" s="370">
        <f>J$54</f>
        <v>46387</v>
      </c>
      <c r="K200" s="370">
        <f>K$54</f>
        <v>46752</v>
      </c>
      <c r="L200" s="370">
        <f>L$54</f>
        <v>47118</v>
      </c>
      <c r="M200" s="370">
        <f>M$54</f>
        <v>47483</v>
      </c>
      <c r="N200" s="370">
        <f>N$54</f>
        <v>47848</v>
      </c>
      <c r="O200" s="370">
        <f>O$54</f>
        <v>48213</v>
      </c>
    </row>
    <row r="201">
      <c r="C201" t="s" s="257">
        <v>1841</v>
      </c>
      <c r="I201" s="310">
        <f>-$E$34</f>
        <v>-5737.031985790003</v>
      </c>
      <c r="J201" s="310">
        <f>0</f>
        <v>0</v>
      </c>
      <c r="K201" s="310">
        <f>0</f>
        <v>0</v>
      </c>
      <c r="L201" s="310">
        <f>0</f>
        <v>0</v>
      </c>
      <c r="M201" s="310">
        <f>0</f>
        <v>0</v>
      </c>
      <c r="N201" s="310">
        <f>0</f>
        <v>0</v>
      </c>
      <c r="O201" s="310">
        <f>0</f>
        <v>0</v>
      </c>
    </row>
    <row r="202">
      <c r="C202" t="s" s="257">
        <v>1842</v>
      </c>
      <c r="I202" s="310">
        <f>0</f>
        <v>0</v>
      </c>
      <c r="J202" s="310">
        <f>0</f>
        <v>0</v>
      </c>
      <c r="K202" s="310">
        <f>IF(K$54=$M$8,K184,0)</f>
        <v>0</v>
      </c>
      <c r="L202" s="310">
        <f>IF(L$54=$M$8,L184,0)</f>
        <v>0</v>
      </c>
      <c r="M202" s="310">
        <f>IF(M$54=$M$8,M184,0)</f>
        <v>0</v>
      </c>
      <c r="N202" s="310">
        <f>IF(N$54=$M$8,N184,0)</f>
        <v>13617.175093682732</v>
      </c>
      <c r="O202" s="310">
        <f>IF(O$54=$M$8,O184,0)</f>
        <v>0</v>
      </c>
    </row>
    <row r="203">
      <c r="C203" t="s" s="483">
        <v>1843</v>
      </c>
      <c r="D203" s="486"/>
      <c r="E203" s="486"/>
      <c r="F203" s="486"/>
      <c r="G203" s="486"/>
      <c r="H203" s="486"/>
      <c r="I203" s="489">
        <f>I201+I202</f>
        <v>-5737.031985790003</v>
      </c>
      <c r="J203" s="489">
        <f>J201+J202</f>
        <v>0</v>
      </c>
      <c r="K203" s="489">
        <f>K201+K202</f>
        <v>0</v>
      </c>
      <c r="L203" s="489">
        <f>L201+L202</f>
        <v>0</v>
      </c>
      <c r="M203" s="489">
        <f>M201+M202</f>
        <v>0</v>
      </c>
      <c r="N203" s="489">
        <f>N201+N202</f>
        <v>13617.175093682732</v>
      </c>
      <c r="O203" s="489">
        <f>O201+O202</f>
        <v>0</v>
      </c>
    </row>
    <row r="204">
      <c r="C204" t="s" s="480">
        <v>1844</v>
      </c>
      <c r="D204" s="493"/>
      <c r="E204" s="493"/>
      <c r="F204" s="493"/>
      <c r="G204" s="493"/>
      <c r="H204" s="493"/>
      <c r="I204" s="494">
        <f>XIRR(I203:O203,I200:O200)</f>
        <v>0.21071793437004088</v>
      </c>
      <c r="J204" s="486"/>
      <c r="K204" s="486"/>
      <c r="L204" s="486"/>
      <c r="M204" s="486"/>
      <c r="N204" s="486"/>
      <c r="O204" s="486"/>
    </row>
    <row r="205">
      <c r="C205" t="s" s="496">
        <v>1452</v>
      </c>
      <c r="D205" s="497"/>
      <c r="E205" s="497"/>
      <c r="F205" s="497"/>
      <c r="G205" s="497"/>
      <c r="H205" s="497"/>
      <c r="I205" s="498">
        <f>SUMIF(I203:O203,"&gt;0")/-SUMIF(I203:O203,"&lt;0")</f>
        <v>2.3735574644539157</v>
      </c>
      <c r="J205" s="484"/>
      <c r="K205" s="484"/>
      <c r="L205" s="484"/>
      <c r="M205" s="484"/>
      <c r="N205" s="484"/>
      <c r="O205" s="484"/>
    </row>
    <row r="207">
      <c r="C207" t="s" s="470">
        <v>1988</v>
      </c>
      <c r="D207" s="470"/>
      <c r="E207" s="470"/>
      <c r="F207" s="470"/>
      <c r="G207" s="470"/>
      <c r="H207" s="470"/>
      <c r="I207" s="470"/>
      <c r="J207" s="470"/>
      <c r="K207" s="470"/>
      <c r="L207" s="470"/>
      <c r="M207" s="470"/>
      <c r="N207" s="470"/>
      <c r="O207" s="470"/>
      <c r="P207" s="470"/>
      <c r="Q207" s="470"/>
    </row>
    <row r="208">
      <c r="C208" t="s" s="257">
        <v>1989</v>
      </c>
      <c r="I208" s="524">
        <f>E34</f>
        <v>5737.031985790003</v>
      </c>
    </row>
    <row r="209">
      <c r="C209" t="s" s="257">
        <v>1990</v>
      </c>
      <c r="E209"/>
      <c r="F209"/>
      <c r="G209"/>
      <c r="H209"/>
      <c r="I209" s="524">
        <f>U22*(INDEX(K176:N176,MATCH($M$8,$K$54:$N$54,0))-J57)</f>
        <v>7545.1896503010075</v>
      </c>
      <c r="M209"/>
      <c r="N209"/>
      <c r="O209"/>
      <c r="P209"/>
      <c r="Q209"/>
    </row>
    <row r="210">
      <c r="C210" t="s" s="257">
        <v>1991</v>
      </c>
      <c r="E210"/>
      <c r="F210"/>
      <c r="G210"/>
      <c r="H210"/>
      <c r="I210" s="524">
        <f>(U26-U22)*INDEX(K176:N176,MATCH($M$8,$K$54:$N$54,0))</f>
        <v>0</v>
      </c>
      <c r="M210"/>
      <c r="N210"/>
      <c r="O210"/>
      <c r="P210"/>
      <c r="Q210"/>
    </row>
    <row r="211">
      <c r="C211" t="s" s="257">
        <v>1992</v>
      </c>
      <c r="E211"/>
      <c r="F211"/>
      <c r="G211"/>
      <c r="H211"/>
      <c r="I211" s="524">
        <f>I162-INDEX(K162:N162,MATCH($M$8,$K$54:$N$54,0))</f>
        <v>315.2265086117245</v>
      </c>
      <c r="M211"/>
      <c r="N211"/>
      <c r="O211"/>
      <c r="P211"/>
      <c r="Q211"/>
    </row>
    <row r="212">
      <c r="C212" t="s" s="257">
        <v>2303</v>
      </c>
      <c r="E212" s="255"/>
      <c r="F212" s="255"/>
      <c r="G212" s="255"/>
      <c r="H212" s="255"/>
      <c r="I212" s="525">
        <f>-(I32+I33)</f>
        <v>-178.142631</v>
      </c>
      <c r="M212" s="255"/>
      <c r="N212" s="255"/>
      <c r="O212" s="255"/>
      <c r="P212" s="255"/>
      <c r="Q212" s="255"/>
    </row>
    <row r="213">
      <c r="A213" s="257"/>
      <c r="B213" s="257"/>
      <c r="C213" t="s" s="257">
        <v>2304</v>
      </c>
      <c r="D213" s="257"/>
      <c r="E213" s="255"/>
      <c r="F213" s="255"/>
      <c r="G213" s="255"/>
      <c r="H213" s="255"/>
      <c r="I213" s="717">
        <f>G48+INDEX(K181:N181,MATCH($M$8,$K$54:$N$54,0))</f>
        <v>197.8695799799986</v>
      </c>
      <c r="J213" s="257"/>
      <c r="K213" s="257"/>
      <c r="L213" s="257"/>
      <c r="M213" s="255"/>
      <c r="N213" s="255"/>
      <c r="O213" s="255"/>
      <c r="P213" s="255"/>
      <c r="Q213" s="255"/>
      <c r="R213" s="257"/>
      <c r="S213" s="257"/>
      <c r="T213" s="257"/>
      <c r="U213" s="257"/>
    </row>
    <row r="214">
      <c r="C214" t="s" s="526">
        <v>1994</v>
      </c>
      <c r="D214" s="526"/>
      <c r="E214" s="527"/>
      <c r="F214" s="527"/>
      <c r="G214" s="527"/>
      <c r="H214" s="527"/>
      <c r="I214" s="528">
        <f>SUM(I208:I213)</f>
        <v>13617.175093682732</v>
      </c>
      <c r="J214" s="526"/>
      <c r="K214" s="526"/>
      <c r="L214" s="526"/>
      <c r="M214" s="527"/>
      <c r="N214" s="527"/>
      <c r="O214" s="527"/>
      <c r="P214" s="255"/>
      <c r="Q214" s="255"/>
    </row>
    <row r="215">
      <c r="C215" t="s" s="257">
        <v>1995</v>
      </c>
      <c r="E215" s="255"/>
      <c r="F215" s="255"/>
      <c r="G215" s="255"/>
      <c r="H215" s="255"/>
      <c r="I215" s="525">
        <f>INDEX(K182:N182,MATCH($M$8,$K$54:$N$54,0))</f>
        <v>13617.175093682732</v>
      </c>
      <c r="M215" s="255"/>
      <c r="N215" s="255"/>
      <c r="O215" s="255"/>
      <c r="P215" s="255"/>
      <c r="Q215" s="255"/>
    </row>
    <row r="216">
      <c r="C216" t="s" s="257">
        <v>473</v>
      </c>
      <c r="E216" s="255"/>
      <c r="F216" s="255"/>
      <c r="G216" s="255"/>
      <c r="H216" s="255"/>
      <c r="I216" s="525">
        <f>I214-I215</f>
        <v>0</v>
      </c>
      <c r="M216" s="255"/>
      <c r="N216" s="255"/>
      <c r="O216" s="255"/>
      <c r="P216" s="255"/>
      <c r="Q216" s="255"/>
    </row>
    <row r="217">
      <c r="E217" s="255"/>
      <c r="F217" s="255"/>
      <c r="G217" s="255"/>
      <c r="H217" s="255"/>
      <c r="I217" s="255"/>
      <c r="M217" s="255"/>
      <c r="N217" s="255"/>
      <c r="O217" s="255"/>
      <c r="P217" s="255"/>
      <c r="Q217" s="255"/>
    </row>
    <row r="218">
      <c r="C218" t="s" s="470">
        <v>1996</v>
      </c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</row>
    <row r="219">
      <c r="E219"/>
      <c r="F219"/>
      <c r="G219"/>
      <c r="H219"/>
      <c r="I219"/>
      <c r="M219"/>
      <c r="N219"/>
      <c r="O219"/>
      <c r="P219"/>
      <c r="Q219"/>
    </row>
    <row r="220" ht="13.5" customHeight="1">
      <c r="C220" t="s" s="244">
        <v>1997</v>
      </c>
      <c r="E220" t="s" s="257">
        <v>1986</v>
      </c>
      <c r="F220"/>
      <c r="G220"/>
      <c r="H220"/>
      <c r="I220"/>
      <c r="K220" t="s" s="244">
        <v>1998</v>
      </c>
      <c r="M220" t="s" s="257">
        <v>1999</v>
      </c>
      <c r="N220"/>
      <c r="O220"/>
      <c r="P220"/>
      <c r="Q220"/>
    </row>
    <row r="221" ht="13.5" customHeight="1">
      <c r="D221" s="529">
        <f>I204</f>
        <v>0.21071793437004088</v>
      </c>
      <c r="E221" s="530">
        <v>-2</v>
      </c>
      <c r="F221" s="530">
        <v>-1</v>
      </c>
      <c r="G221" s="530">
        <v>0</v>
      </c>
      <c r="H221" s="530">
        <v>1</v>
      </c>
      <c r="I221" s="530">
        <v>2</v>
      </c>
      <c r="L221" s="529">
        <f>I204</f>
        <v>0.21071793437004088</v>
      </c>
      <c r="M221" s="534">
        <v>-0.04</v>
      </c>
      <c r="N221" s="534">
        <v>-0.02</v>
      </c>
      <c r="O221" s="534">
        <v>0</v>
      </c>
      <c r="P221" s="534">
        <v>0.02</v>
      </c>
      <c r="Q221" s="534">
        <v>0.04</v>
      </c>
    </row>
    <row r="222" ht="13.5" customHeight="1">
      <c r="C222" t="s" s="257">
        <v>1936</v>
      </c>
      <c r="D222" s="531">
        <v>-4</v>
      </c>
      <c r="E222" s="532">
        <f t="dataTable" ref="E222:I226" dt2D="1" dtr="1" r1="M13" r2="E8"/>
        <v>0.18793370127677916</v>
      </c>
      <c r="F222" s="532">
        <v>0.1716759145259857</v>
      </c>
      <c r="G222" s="532">
        <v>0.1565751492977143</v>
      </c>
      <c r="H222" s="532">
        <v>0.1424898445606232</v>
      </c>
      <c r="I222" s="532">
        <v>0.12930226922035218</v>
      </c>
      <c r="K222" t="s" s="257">
        <v>1936</v>
      </c>
      <c r="L222" s="531">
        <v>-4</v>
      </c>
      <c r="M222" s="532">
        <f t="dataTable" ref="M222:Q226" dt2D="1" dtr="1" r1="E13" r2="E8"/>
        <v>0.08381865322589875</v>
      </c>
      <c r="N222" s="532">
        <v>0.12072136998176575</v>
      </c>
      <c r="O222" s="532">
        <v>0.1565751492977143</v>
      </c>
      <c r="P222" s="532">
        <v>0.19159882664680478</v>
      </c>
      <c r="Q222" s="532">
        <v>0.22595109343528744</v>
      </c>
    </row>
    <row r="223" ht="13.5" customHeight="1">
      <c r="D223" s="531">
        <v>-2</v>
      </c>
      <c r="E223" s="532">
        <v>0.21685689091682434</v>
      </c>
      <c r="F223" s="532">
        <v>0.20020328164100645</v>
      </c>
      <c r="G223" s="532">
        <v>0.18473483920097353</v>
      </c>
      <c r="H223" s="532">
        <v>0.1703065931797028</v>
      </c>
      <c r="I223" s="532">
        <v>0.15679792761802672</v>
      </c>
      <c r="L223" s="531">
        <v>-2</v>
      </c>
      <c r="M223" s="532">
        <v>0.11229678988456726</v>
      </c>
      <c r="N223" s="532">
        <v>0.14897289872169497</v>
      </c>
      <c r="O223" s="532">
        <v>0.18473483920097353</v>
      </c>
      <c r="P223" s="532">
        <v>0.21977142691612242</v>
      </c>
      <c r="Q223" s="532">
        <v>0.25422052741050716</v>
      </c>
    </row>
    <row r="224" ht="13.5" customHeight="1">
      <c r="D224" s="531">
        <v>0</v>
      </c>
      <c r="E224" s="532">
        <v>0.24354447722434996</v>
      </c>
      <c r="F224" s="532">
        <v>0.2265256106853485</v>
      </c>
      <c r="G224" s="533">
        <v>0.21071793437004088</v>
      </c>
      <c r="H224" s="532">
        <v>0.19597324728965762</v>
      </c>
      <c r="I224" s="532">
        <v>0.18216832280159</v>
      </c>
      <c r="L224" s="531">
        <v>0</v>
      </c>
      <c r="M224" s="532">
        <v>0.13841753602027895</v>
      </c>
      <c r="N224" s="532">
        <v>0.1749712646007538</v>
      </c>
      <c r="O224" s="533">
        <v>0.21071793437004088</v>
      </c>
      <c r="P224" s="532">
        <v>0.24582349658012387</v>
      </c>
      <c r="Q224" s="532">
        <v>0.2804097950458526</v>
      </c>
    </row>
    <row r="225" ht="13.5" customHeight="1">
      <c r="D225" s="531">
        <v>2</v>
      </c>
      <c r="E225" s="532">
        <v>0.26835578083992007</v>
      </c>
      <c r="F225" s="532">
        <v>0.25099735856056216</v>
      </c>
      <c r="G225" s="532">
        <v>0.23487429022789</v>
      </c>
      <c r="H225" s="532">
        <v>0.2198354184627533</v>
      </c>
      <c r="I225" s="532">
        <v>0.20575504899024968</v>
      </c>
      <c r="L225" s="531">
        <v>2</v>
      </c>
      <c r="M225" s="532">
        <v>0.1625841677188873</v>
      </c>
      <c r="N225" s="532">
        <v>0.199089115858078</v>
      </c>
      <c r="O225" s="532">
        <v>0.23487429022789</v>
      </c>
      <c r="P225" s="532">
        <v>0.2700877249240875</v>
      </c>
      <c r="Q225" s="532">
        <v>0.3048385441303253</v>
      </c>
    </row>
    <row r="226" ht="13.5" customHeight="1">
      <c r="D226" s="531">
        <v>4</v>
      </c>
      <c r="E226" s="532">
        <v>0.2915673673152924</v>
      </c>
      <c r="F226" s="532">
        <v>0.2738912761211395</v>
      </c>
      <c r="G226" s="532">
        <v>0.2574731290340424</v>
      </c>
      <c r="H226" s="532">
        <v>0.24215905070304872</v>
      </c>
      <c r="I226" s="532">
        <v>0.2278209984302521</v>
      </c>
      <c r="L226" s="531">
        <v>4</v>
      </c>
      <c r="M226" s="532">
        <v>0.1851015508174896</v>
      </c>
      <c r="N226" s="532">
        <v>0.22161093354225156</v>
      </c>
      <c r="O226" s="532">
        <v>0.2574731290340424</v>
      </c>
      <c r="P226" s="532">
        <v>0.2928218066692354</v>
      </c>
      <c r="Q226" s="532">
        <v>0.3277557671070098</v>
      </c>
    </row>
    <row r="227" ht="13.5" customHeight="1">
      <c r="E227"/>
      <c r="F227"/>
      <c r="G227"/>
      <c r="H227"/>
      <c r="I227"/>
      <c r="M227"/>
      <c r="N227"/>
      <c r="O227"/>
      <c r="P227"/>
      <c r="Q227"/>
    </row>
    <row r="228" ht="13.5" customHeight="1">
      <c r="C228" t="s" s="244">
        <v>2000</v>
      </c>
      <c r="E228" t="s" s="257">
        <v>2001</v>
      </c>
      <c r="F228"/>
      <c r="G228"/>
      <c r="H228"/>
      <c r="I228"/>
      <c r="K228" t="s" s="244">
        <v>2002</v>
      </c>
      <c r="M228" t="s" s="257">
        <v>2001</v>
      </c>
      <c r="N228"/>
      <c r="O228"/>
      <c r="P228"/>
      <c r="Q228"/>
    </row>
    <row r="229" ht="13.5" customHeight="1">
      <c r="D229" s="529">
        <f>I204</f>
        <v>0.21071793437004088</v>
      </c>
      <c r="E229" s="534">
        <v>-0.04</v>
      </c>
      <c r="F229" s="534">
        <v>-0.02</v>
      </c>
      <c r="G229" s="534">
        <v>0</v>
      </c>
      <c r="H229" s="534">
        <v>0.02</v>
      </c>
      <c r="I229" s="534">
        <v>0.04</v>
      </c>
      <c r="L229" s="529">
        <f>I204</f>
        <v>0.21071793437004088</v>
      </c>
      <c r="M229" s="534">
        <v>-0.04</v>
      </c>
      <c r="N229" s="534">
        <v>-0.02</v>
      </c>
      <c r="O229" s="534">
        <v>0</v>
      </c>
      <c r="P229" s="534">
        <v>0.02</v>
      </c>
      <c r="Q229" s="534">
        <v>0.04</v>
      </c>
    </row>
    <row r="230" ht="13.5" customHeight="1">
      <c r="C230" t="s" s="257">
        <v>1936</v>
      </c>
      <c r="D230" s="531">
        <v>-4</v>
      </c>
      <c r="E230" s="532">
        <f t="dataTable" ref="E230:I234" dt2D="1" dtr="1" r1="I13" r2="E8"/>
        <v>0.11646602749824525</v>
      </c>
      <c r="F230" s="532">
        <v>0.1372511088848114</v>
      </c>
      <c r="G230" s="532">
        <v>0.1565751492977143</v>
      </c>
      <c r="H230" s="532">
        <v>0.1750200927257538</v>
      </c>
      <c r="I230" s="532">
        <v>0.1923007667064667</v>
      </c>
      <c r="K230" t="s" s="257">
        <v>1999</v>
      </c>
      <c r="L230" s="535">
        <v>-0.04</v>
      </c>
      <c r="M230" s="532">
        <f t="dataTable" ref="M230:Q234" dt2D="1" dtr="1" r1="I13" r2="E13"/>
        <v>0.09781569838523865</v>
      </c>
      <c r="N230" s="532">
        <v>0.1187544286251068</v>
      </c>
      <c r="O230" s="532">
        <v>0.13841753602027895</v>
      </c>
      <c r="P230" s="532">
        <v>0.15673994421958928</v>
      </c>
      <c r="Q230" s="532">
        <v>0.1742910921573639</v>
      </c>
    </row>
    <row r="231" ht="13.5" customHeight="1">
      <c r="D231" s="531">
        <v>-2</v>
      </c>
      <c r="E231" s="532">
        <v>0.14502598643302916</v>
      </c>
      <c r="F231" s="532">
        <v>0.16557478308677673</v>
      </c>
      <c r="G231" s="532">
        <v>0.18473483920097353</v>
      </c>
      <c r="H231" s="532">
        <v>0.20304171442985539</v>
      </c>
      <c r="I231" s="532">
        <v>0.22023492455482482</v>
      </c>
      <c r="L231" s="535">
        <v>-0.02</v>
      </c>
      <c r="M231" s="532">
        <v>0.13515672087669375</v>
      </c>
      <c r="N231" s="532">
        <v>0.15577445626258854</v>
      </c>
      <c r="O231" s="532">
        <v>0.1749712646007538</v>
      </c>
      <c r="P231" s="532">
        <v>0.19310985207557682</v>
      </c>
      <c r="Q231" s="532">
        <v>0.21051271557807927</v>
      </c>
    </row>
    <row r="232" ht="13.5" customHeight="1">
      <c r="D232" s="531">
        <v>0</v>
      </c>
      <c r="E232" s="532">
        <v>0.1712779700756073</v>
      </c>
      <c r="F232" s="532">
        <v>0.1916639983654022</v>
      </c>
      <c r="G232" s="533">
        <v>0.21071793437004088</v>
      </c>
      <c r="H232" s="532">
        <v>0.22893760800361637</v>
      </c>
      <c r="I232" s="532">
        <v>0.24608371853828434</v>
      </c>
      <c r="L232" s="535">
        <v>0</v>
      </c>
      <c r="M232" s="532">
        <v>0.1712779700756073</v>
      </c>
      <c r="N232" s="532">
        <v>0.1916639983654022</v>
      </c>
      <c r="O232" s="533">
        <v>0.21071793437004088</v>
      </c>
      <c r="P232" s="532">
        <v>0.22893760800361637</v>
      </c>
      <c r="Q232" s="532">
        <v>0.24608371853828434</v>
      </c>
    </row>
    <row r="233" ht="13.5" customHeight="1">
      <c r="D233" s="531">
        <v>2</v>
      </c>
      <c r="E233" s="532">
        <v>0.19560827612876894</v>
      </c>
      <c r="F233" s="532">
        <v>0.215884667634964</v>
      </c>
      <c r="G233" s="532">
        <v>0.23487429022789</v>
      </c>
      <c r="H233" s="532">
        <v>0.25304368138313293</v>
      </c>
      <c r="I233" s="532">
        <v>0.27017188668251046</v>
      </c>
      <c r="L233" s="535">
        <v>0.02</v>
      </c>
      <c r="M233" s="532">
        <v>0.20676621794700625</v>
      </c>
      <c r="N233" s="532">
        <v>0.22685000300407412</v>
      </c>
      <c r="O233" s="532">
        <v>0.24582349658012387</v>
      </c>
      <c r="P233" s="532">
        <v>0.2639909207820892</v>
      </c>
      <c r="Q233" s="532">
        <v>0.2811383545398711</v>
      </c>
    </row>
    <row r="234" ht="13.5" customHeight="1">
      <c r="D234" s="531">
        <v>4</v>
      </c>
      <c r="E234" s="532">
        <v>0.2183108150959015</v>
      </c>
      <c r="F234" s="532">
        <v>0.23851690888404847</v>
      </c>
      <c r="G234" s="532">
        <v>0.2574731290340424</v>
      </c>
      <c r="H234" s="532">
        <v>0.2756196081638337</v>
      </c>
      <c r="I234" s="532">
        <v>0.2927514493465425</v>
      </c>
      <c r="L234" s="535">
        <v>0.04</v>
      </c>
      <c r="M234" s="532">
        <v>0.2414117634296417</v>
      </c>
      <c r="N234" s="532">
        <v>0.26144781708717346</v>
      </c>
      <c r="O234" s="532">
        <v>0.2804097950458526</v>
      </c>
      <c r="P234" s="532">
        <v>0.29857671856880186</v>
      </c>
      <c r="Q234" s="532">
        <v>0.3157592594623566</v>
      </c>
    </row>
    <row r="235" ht="13.5" customHeight="1">
      <c r="E235"/>
      <c r="F235"/>
      <c r="G235"/>
      <c r="H235"/>
      <c r="I235"/>
    </row>
    <row r="236" ht="13.5" customHeight="1">
      <c r="C236" t="s" s="244">
        <v>2003</v>
      </c>
      <c r="E236" t="s" s="257">
        <v>1986</v>
      </c>
      <c r="F236"/>
      <c r="G236"/>
      <c r="H236"/>
      <c r="I236"/>
    </row>
    <row r="237" ht="13.5" customHeight="1">
      <c r="D237" s="529">
        <f>I205</f>
        <v>2.3735574644539157</v>
      </c>
      <c r="E237" s="530">
        <v>-2</v>
      </c>
      <c r="F237" s="530">
        <v>-1</v>
      </c>
      <c r="G237" s="530">
        <v>0</v>
      </c>
      <c r="H237" s="530">
        <v>1</v>
      </c>
      <c r="I237" s="530">
        <v>2</v>
      </c>
    </row>
    <row r="238" ht="13.5" customHeight="1">
      <c r="C238" t="s" s="257">
        <v>1936</v>
      </c>
      <c r="D238" s="531">
        <v>-4</v>
      </c>
      <c r="E238" s="576">
        <f t="dataTable" ref="E238:I242" dt2D="1" dtr="1" r1="M13" r2="E8"/>
        <v>2.1782200026329206</v>
      </c>
      <c r="F238" s="576">
        <v>2.046669049238478</v>
      </c>
      <c r="G238" s="576">
        <v>1.9301028312731698</v>
      </c>
      <c r="H238" s="576">
        <v>1.8260989853963137</v>
      </c>
      <c r="I238" s="576">
        <v>1.7327305698817737</v>
      </c>
    </row>
    <row r="239" ht="13.5" customHeight="1">
      <c r="D239" s="531">
        <v>-2</v>
      </c>
      <c r="E239" s="576">
        <v>2.42845064749897</v>
      </c>
      <c r="F239" s="576">
        <v>2.2817873180080603</v>
      </c>
      <c r="G239" s="576">
        <v>2.1518301478635427</v>
      </c>
      <c r="H239" s="576">
        <v>2.0358784962595986</v>
      </c>
      <c r="I239" s="576">
        <v>1.9317840572965166</v>
      </c>
    </row>
    <row r="240" ht="13.5" customHeight="1">
      <c r="D240" s="531">
        <v>0</v>
      </c>
      <c r="E240" s="576">
        <v>2.6786812923650203</v>
      </c>
      <c r="F240" s="576">
        <v>2.5169055867776438</v>
      </c>
      <c r="G240" s="577">
        <v>2.3735574644539166</v>
      </c>
      <c r="H240" s="576">
        <v>2.2456580071228847</v>
      </c>
      <c r="I240" s="576">
        <v>2.1308375447112597</v>
      </c>
    </row>
    <row r="241" ht="13.5" customHeight="1">
      <c r="D241" s="531">
        <v>2</v>
      </c>
      <c r="E241" s="576">
        <v>2.9289119372310695</v>
      </c>
      <c r="F241" s="576">
        <v>2.7520238555472263</v>
      </c>
      <c r="G241" s="576">
        <v>2.5952847810442896</v>
      </c>
      <c r="H241" s="576">
        <v>2.45543751798617</v>
      </c>
      <c r="I241" s="576">
        <v>2.3298910321260027</v>
      </c>
    </row>
    <row r="242" ht="13.5" customHeight="1">
      <c r="D242" s="531">
        <v>4</v>
      </c>
      <c r="E242" s="576">
        <v>3.1791425820971195</v>
      </c>
      <c r="F242" s="576">
        <v>2.9871421243168097</v>
      </c>
      <c r="G242" s="576">
        <v>2.817012097634663</v>
      </c>
      <c r="H242" s="576">
        <v>2.6652170288494554</v>
      </c>
      <c r="I242" s="576">
        <v>2.5289445195407465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3"/>
  <sheetViews>
    <sheetView showGridLines="0" workbookViewId="0">
      <selection activeCell="A1" sqref="A1"/>
    </sheetView>
  </sheetViews>
  <sheetFormatPr defaultColWidth="8.73046875" defaultRowHeight="11.65"/>
  <cols>
    <col min="1" max="1" width="3.53125" customWidth="1" style="247"/>
    <col min="2" max="2" width="1.33203125" customWidth="1" style="247"/>
    <col min="3" max="3" width="35.21875" customWidth="1" style="247"/>
    <col min="4" max="7" width="10.9296875" customWidth="1" style="247"/>
    <col min="8" max="8" width="2.64453125" customWidth="1" style="247"/>
    <col min="9" max="9" width="38.07421875" customWidth="1" style="247"/>
    <col min="10" max="21" width="10.9296875" customWidth="1" style="247"/>
    <col min="22" max="24" width="8.796875" customWidth="1" bestFit="1" style="247"/>
    <col min="25" max="25" width="7.53125" customWidth="1" style="247"/>
    <col min="26" max="26" width="5.73046875" customWidth="1" style="247"/>
    <col min="27" max="32" width="8.796875" customWidth="1" bestFit="1" style="247"/>
    <col min="33" max="33" width="7.73046875" customWidth="1" style="247"/>
    <col min="34" max="34" width="8.796875" customWidth="1" bestFit="1" style="247"/>
    <col min="35" max="36" width="8.73046875" customWidth="0" style="247"/>
    <col min="37" max="37" width="1.33203125" customWidth="1" style="247"/>
    <col min="38" max="121" width="8.73046875" customWidth="0" style="247"/>
  </cols>
  <sheetData>
    <row r="1" ht="13.5" customHeight="1"/>
    <row r="2">
      <c r="C2" t="s" s="71">
        <v>1852</v>
      </c>
    </row>
    <row r="3" ht="13.05" customHeight="1">
      <c r="C3" t="str" s="279">
        <f>"($ in millions, except per share); case shown: "&amp;'Driver Assumptions'!D4</f>
        <v>($ in millions, except per share); case shown: Outside-in</v>
      </c>
    </row>
    <row r="4" ht="13.05" customHeight="1"/>
    <row r="5" ht="13.5" customHeight="1"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</row>
    <row r="6" ht="13.5" customHeight="1">
      <c r="A6" s="247"/>
      <c r="C6" t="s" s="433">
        <v>1100</v>
      </c>
      <c r="D6" s="431"/>
      <c r="E6" t="s" s="432">
        <v>1854</v>
      </c>
      <c r="F6" t="s" s="432">
        <v>1377</v>
      </c>
      <c r="G6" t="s" s="432">
        <v>1855</v>
      </c>
      <c r="H6" s="428"/>
      <c r="I6" t="s" s="444">
        <v>1856</v>
      </c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</row>
    <row r="7" ht="13.5" customHeight="1">
      <c r="C7" t="s" s="429">
        <v>1101</v>
      </c>
      <c r="D7" s="428"/>
      <c r="E7" s="436">
        <f>F7/Model!$U$20</f>
        <v>0</v>
      </c>
      <c r="F7" s="434">
        <f>Model!E29</f>
        <v>0</v>
      </c>
      <c r="G7" s="435">
        <f>F7/$F$12</f>
        <v>0</v>
      </c>
      <c r="H7" s="428"/>
      <c r="I7" t="s" s="428">
        <v>811</v>
      </c>
      <c r="J7" s="428"/>
      <c r="K7" s="428"/>
      <c r="L7" s="428"/>
      <c r="M7" s="455">
        <f>Model!E4</f>
        <v>46198</v>
      </c>
      <c r="N7" s="428"/>
      <c r="O7" t="s" s="428">
        <v>1926</v>
      </c>
      <c r="P7" s="428"/>
      <c r="Q7" s="428"/>
      <c r="R7" s="428"/>
      <c r="S7" s="428"/>
      <c r="T7" s="428"/>
      <c r="U7" s="457">
        <f>Model!U21</f>
        <v>29.87670047503965</v>
      </c>
    </row>
    <row r="8" ht="13.5" customHeight="1">
      <c r="C8" t="s" s="429">
        <v>844</v>
      </c>
      <c r="D8" s="428"/>
      <c r="E8" s="436">
        <f>F8/Model!$U$20</f>
        <v>9.624124472009838</v>
      </c>
      <c r="F8" s="434">
        <f>Model!E30</f>
        <v>2700</v>
      </c>
      <c r="G8" s="435">
        <f>F8/$F$12</f>
        <v>0.3169557601959609</v>
      </c>
      <c r="H8" s="428"/>
      <c r="I8" t="s" s="428">
        <v>1721</v>
      </c>
      <c r="J8" s="428"/>
      <c r="K8" s="428"/>
      <c r="L8" s="428"/>
      <c r="M8" s="450">
        <f>Model!E5</f>
        <v>24.55</v>
      </c>
      <c r="N8" s="428"/>
      <c r="O8" t="s" s="428">
        <v>1859</v>
      </c>
      <c r="P8" s="428"/>
      <c r="Q8" s="428"/>
      <c r="R8" s="428"/>
      <c r="S8" s="428"/>
      <c r="T8" s="428"/>
      <c r="U8" s="457">
        <f>Model!I164</f>
        <v>9.624124472009838</v>
      </c>
    </row>
    <row r="9" ht="13.5" customHeight="1">
      <c r="C9" t="s" s="429">
        <v>845</v>
      </c>
      <c r="D9" s="428"/>
      <c r="E9" s="436">
        <f>F9/Model!$U$20</f>
        <v>0</v>
      </c>
      <c r="F9" s="434">
        <f>Model!E31</f>
        <v>0</v>
      </c>
      <c r="G9" s="435">
        <f>F9/$F$12</f>
        <v>0</v>
      </c>
      <c r="H9" s="428"/>
      <c r="I9" t="s" s="428">
        <v>1857</v>
      </c>
      <c r="J9" s="428"/>
      <c r="K9" s="428"/>
      <c r="L9" s="428"/>
      <c r="M9" s="449">
        <f>Model!E7</f>
        <v>0.4709406830437386</v>
      </c>
      <c r="N9" s="428"/>
      <c r="O9" t="s" s="428">
        <v>1776</v>
      </c>
      <c r="P9" s="428"/>
      <c r="Q9" s="428"/>
      <c r="R9" s="428"/>
      <c r="S9" s="428"/>
      <c r="T9" s="428"/>
      <c r="U9" s="449">
        <f>Model!N36</f>
        <v>0.6799822491431287</v>
      </c>
    </row>
    <row r="10" ht="13.5" customHeight="1">
      <c r="C10" t="s" s="429">
        <v>1769</v>
      </c>
      <c r="D10" s="428"/>
      <c r="E10" s="428"/>
      <c r="F10" s="434">
        <f>Model!E32</f>
        <v>81.507</v>
      </c>
      <c r="G10" s="435">
        <f>F10/$F$12</f>
        <v>0.009568190054182291</v>
      </c>
      <c r="H10" s="428"/>
      <c r="I10" t="s" s="428">
        <v>1742</v>
      </c>
      <c r="J10" s="428"/>
      <c r="K10" s="428"/>
      <c r="L10" s="428"/>
      <c r="M10" s="456">
        <f>Model!U13</f>
        <v>311.1309953063136</v>
      </c>
      <c r="N10" s="428"/>
      <c r="O10" t="s" s="428">
        <v>1927</v>
      </c>
      <c r="P10" s="428"/>
      <c r="Q10" s="428"/>
      <c r="R10" s="428"/>
      <c r="S10" s="428"/>
      <c r="T10" s="428"/>
      <c r="U10" s="457">
        <f>Model!U26</f>
        <v>25.041255617597592</v>
      </c>
    </row>
    <row r="11" ht="13.5" customHeight="1">
      <c r="C11" t="s" s="429">
        <v>1770</v>
      </c>
      <c r="D11" s="428"/>
      <c r="E11" s="428"/>
      <c r="F11" s="434">
        <f>Model!E34</f>
        <v>5737.031985790003</v>
      </c>
      <c r="G11" s="435">
        <f>F11/$F$12</f>
        <v>0.6734760497498569</v>
      </c>
      <c r="H11" s="428"/>
      <c r="I11" t="s" s="428">
        <v>1095</v>
      </c>
      <c r="J11" s="428"/>
      <c r="K11" s="428"/>
      <c r="L11" s="428"/>
      <c r="M11" s="448">
        <f>Model!U14</f>
        <v>7638.265934769999</v>
      </c>
      <c r="N11" s="428"/>
      <c r="O11" t="s" s="428">
        <v>1861</v>
      </c>
      <c r="P11" s="428"/>
      <c r="Q11" s="428"/>
      <c r="R11" s="428"/>
      <c r="S11" s="428"/>
      <c r="T11" s="428"/>
      <c r="U11" s="455">
        <f>Model!M8</f>
        <v>47848</v>
      </c>
    </row>
    <row r="12" ht="13.5" customHeight="1">
      <c r="C12" t="s" s="437">
        <v>1391</v>
      </c>
      <c r="D12" s="437"/>
      <c r="E12" s="437"/>
      <c r="F12" s="438">
        <f>SUM(F7:F11)</f>
        <v>8518.538985790003</v>
      </c>
      <c r="G12" s="439">
        <f>SUM(G7:G11)</f>
        <v>1</v>
      </c>
      <c r="H12" s="428"/>
      <c r="I12" t="s" s="428">
        <v>1746</v>
      </c>
      <c r="J12" s="428"/>
      <c r="K12" s="428"/>
      <c r="L12" s="428"/>
      <c r="M12" s="448">
        <f>Model!U18</f>
        <v>8381.75893477</v>
      </c>
      <c r="N12" s="428"/>
      <c r="O12" t="s" s="451">
        <v>1862</v>
      </c>
      <c r="P12" s="451"/>
      <c r="Q12" s="451"/>
      <c r="R12" s="451"/>
      <c r="S12" s="451"/>
      <c r="T12" s="451"/>
      <c r="U12" s="452">
        <f>Model!I204</f>
        <v>0.21071793437004088</v>
      </c>
    </row>
    <row r="13" ht="13.5" customHeight="1">
      <c r="C13" s="428"/>
      <c r="D13" s="428"/>
      <c r="E13" s="428"/>
      <c r="F13" s="428"/>
      <c r="G13" s="428"/>
      <c r="H13" s="428"/>
      <c r="I13" t="s" s="428">
        <v>1933</v>
      </c>
      <c r="J13" s="428"/>
      <c r="K13" s="428"/>
      <c r="L13" s="428"/>
      <c r="M13" s="457">
        <f>Model!U22</f>
        <v>25.041255617597592</v>
      </c>
      <c r="N13" s="428"/>
      <c r="O13" t="s" s="453">
        <v>1863</v>
      </c>
      <c r="P13" s="453"/>
      <c r="Q13" s="453"/>
      <c r="R13" s="453"/>
      <c r="S13" s="453"/>
      <c r="T13" s="453"/>
      <c r="U13" s="454">
        <f>Model!I205</f>
        <v>2.3735574644539157</v>
      </c>
    </row>
    <row r="14" ht="13.5" customHeight="1">
      <c r="C14" t="s" s="433">
        <v>1094</v>
      </c>
      <c r="D14" s="431"/>
      <c r="E14" s="431"/>
      <c r="F14" t="s" s="432">
        <v>1377</v>
      </c>
      <c r="G14" t="s" s="432">
        <v>1855</v>
      </c>
      <c r="H14" s="428"/>
      <c r="I14" s="428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</row>
    <row r="15" ht="13.5" customHeight="1">
      <c r="C15" t="s" s="429">
        <v>2310</v>
      </c>
      <c r="D15" s="428"/>
      <c r="E15" s="428"/>
      <c r="F15" s="434">
        <f>Model!I29</f>
        <v>7440.396354790001</v>
      </c>
      <c r="G15" s="435">
        <f>F15/$F$20</f>
        <v>0.8734357343673042</v>
      </c>
      <c r="H15" s="428"/>
      <c r="I15" s="428"/>
      <c r="J15" s="428"/>
      <c r="K15" s="428"/>
      <c r="L15" s="428"/>
      <c r="M15" s="428"/>
      <c r="N15" s="428"/>
      <c r="O15" s="428"/>
      <c r="P15" s="428"/>
      <c r="Q15" s="428"/>
      <c r="R15" s="428"/>
      <c r="S15" s="428"/>
      <c r="T15" s="428"/>
      <c r="U15" s="428"/>
    </row>
    <row r="16" ht="13.5" customHeight="1">
      <c r="C16" t="s" s="429">
        <v>1096</v>
      </c>
      <c r="D16" s="428"/>
      <c r="E16" s="428"/>
      <c r="F16" s="434">
        <f>Model!I30</f>
        <v>825</v>
      </c>
      <c r="G16" s="435">
        <f>F16/$F$20</f>
        <v>0.09684759339321027</v>
      </c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ht="13.5" customHeight="1">
      <c r="C17" t="s" s="429">
        <v>1011</v>
      </c>
      <c r="D17" s="428"/>
      <c r="E17" s="428"/>
      <c r="F17" s="434">
        <f>Model!I31</f>
        <v>75</v>
      </c>
      <c r="G17" s="435">
        <f>F17/$F$20</f>
        <v>0.008804326672110025</v>
      </c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</row>
    <row r="18" ht="13.5" customHeight="1">
      <c r="C18" t="s" s="429">
        <v>2311</v>
      </c>
      <c r="D18" s="428"/>
      <c r="E18" s="428"/>
      <c r="F18" s="434">
        <f>Model!I32</f>
        <v>124.142631</v>
      </c>
      <c r="G18" s="435">
        <f>F18/$F$20</f>
        <v>0.01457323036345617</v>
      </c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</row>
    <row r="19" ht="13.5" customHeight="1">
      <c r="C19" t="s" s="429">
        <v>1772</v>
      </c>
      <c r="D19" s="428"/>
      <c r="E19" s="428"/>
      <c r="F19" s="434">
        <f>Model!I33</f>
        <v>54</v>
      </c>
      <c r="G19" s="435">
        <f>F19/$F$20</f>
        <v>0.006339115203919218</v>
      </c>
      <c r="H19" s="428"/>
      <c r="I19" s="428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</row>
    <row r="20" ht="13.5" customHeight="1">
      <c r="C20" t="s" s="440">
        <v>1392</v>
      </c>
      <c r="D20" s="440"/>
      <c r="E20" s="440"/>
      <c r="F20" s="441">
        <f>SUM(F15:F19)</f>
        <v>8518.538985790003</v>
      </c>
      <c r="G20" s="442">
        <f>SUM(G15:G19)</f>
        <v>0.9999999999999998</v>
      </c>
      <c r="H20" s="428"/>
      <c r="I20" s="428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</row>
    <row r="21" ht="13.5" customHeight="1">
      <c r="C21" t="s" s="279">
        <v>2357</v>
      </c>
      <c r="D21" s="279"/>
      <c r="E21" s="279"/>
      <c r="F21" s="718">
        <f>Model!G48</f>
        <v>197.8695799799986</v>
      </c>
      <c r="G21" s="719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</row>
    <row r="22" ht="13.5" customHeight="1">
      <c r="C22" t="s" s="444">
        <v>1864</v>
      </c>
      <c r="D22" s="443"/>
      <c r="E22" s="443"/>
      <c r="F22" s="443"/>
      <c r="G22" s="443"/>
      <c r="H22" s="428"/>
      <c r="I22" t="s" s="459">
        <v>1934</v>
      </c>
      <c r="J22" s="458"/>
      <c r="K22" s="458"/>
      <c r="L22" s="458"/>
      <c r="M22" s="458"/>
      <c r="N22" s="458"/>
      <c r="O22" s="458"/>
      <c r="P22" s="458"/>
      <c r="Q22" s="458"/>
      <c r="R22" s="458"/>
      <c r="S22" s="458"/>
      <c r="T22" s="458"/>
      <c r="U22" s="443"/>
    </row>
    <row r="23" ht="13.5" customHeight="1">
      <c r="A23" s="247"/>
      <c r="C23" s="445"/>
      <c r="D23" s="446">
        <f>Model!K54</f>
        <v>46752</v>
      </c>
      <c r="E23" s="446">
        <f>Model!L54</f>
        <v>47118</v>
      </c>
      <c r="F23" s="446">
        <f>Model!M54</f>
        <v>47483</v>
      </c>
      <c r="G23" s="446">
        <f>Model!N54</f>
        <v>47848</v>
      </c>
      <c r="H23" s="428"/>
      <c r="I23" s="428"/>
      <c r="J23" t="s" s="460">
        <v>1463</v>
      </c>
      <c r="K23" s="460"/>
      <c r="L23" t="s" s="460">
        <v>1464</v>
      </c>
      <c r="M23" s="460"/>
      <c r="N23" s="460"/>
      <c r="O23" s="460"/>
      <c r="P23" s="460"/>
      <c r="Q23" s="460"/>
      <c r="R23" s="428"/>
      <c r="S23" t="s" s="460">
        <v>1395</v>
      </c>
      <c r="T23" s="460"/>
      <c r="U23" s="428"/>
    </row>
    <row r="24" ht="13.5" customHeight="1">
      <c r="C24" t="s" s="428">
        <v>1201</v>
      </c>
      <c r="D24" s="447">
        <f>Model!K174</f>
        <v>1.5178082191780822</v>
      </c>
      <c r="E24" s="447">
        <f>Model!L174</f>
        <v>2.5182481751824817</v>
      </c>
      <c r="F24" s="447">
        <f>Model!M174</f>
        <v>3.5181382614647503</v>
      </c>
      <c r="G24" s="447">
        <f>Model!N174</f>
        <v>4.518072289156627</v>
      </c>
      <c r="H24" s="428"/>
      <c r="I24" s="461"/>
      <c r="J24" s="462">
        <f>Model!H54</f>
        <v>45657</v>
      </c>
      <c r="K24" s="462">
        <f>Model!I54</f>
        <v>46022</v>
      </c>
      <c r="L24" s="446">
        <f>Model!J54</f>
        <v>46387</v>
      </c>
      <c r="M24" s="446">
        <f>Model!K54</f>
        <v>46752</v>
      </c>
      <c r="N24" s="446">
        <f>Model!L54</f>
        <v>47118</v>
      </c>
      <c r="O24" s="446">
        <f>Model!M54</f>
        <v>47483</v>
      </c>
      <c r="P24" s="446">
        <f>Model!N54</f>
        <v>47848</v>
      </c>
      <c r="Q24" s="446">
        <f>Model!O54</f>
        <v>48213</v>
      </c>
      <c r="R24" s="463"/>
      <c r="S24" t="str" s="464">
        <f>Model!P54</f>
        <v>FY21-FY25</v>
      </c>
      <c r="T24" t="str" s="464">
        <f>Model!Q54</f>
        <v>FY25-FY30</v>
      </c>
      <c r="U24" s="428"/>
    </row>
    <row r="25" ht="13.5" customHeight="1">
      <c r="C25" t="s" s="428">
        <v>970</v>
      </c>
      <c r="D25" s="448">
        <f>Model!K178</f>
        <v>11344.106077440463</v>
      </c>
      <c r="E25" s="448">
        <f>Model!L178</f>
        <v>12875.643686997664</v>
      </c>
      <c r="F25" s="448">
        <f>Model!M178</f>
        <v>14361.000144072445</v>
      </c>
      <c r="G25" s="448">
        <f>Model!N178</f>
        <v>15926.948585071008</v>
      </c>
      <c r="H25" s="428"/>
      <c r="I25" t="s" s="429">
        <v>303</v>
      </c>
      <c r="J25" s="465">
        <f>Model!H55</f>
        <v>451.803</v>
      </c>
      <c r="K25" s="465">
        <f>Model!I55</f>
        <v>731.368</v>
      </c>
      <c r="L25" s="465">
        <f>Model!J55</f>
        <v>936.4459959181302</v>
      </c>
      <c r="M25" s="465">
        <f>Model!K55</f>
        <v>1063.9840547636156</v>
      </c>
      <c r="N25" s="465">
        <f>Model!L55</f>
        <v>1198.2521550674492</v>
      </c>
      <c r="O25" s="465">
        <f>Model!M55</f>
        <v>1337.4815241701785</v>
      </c>
      <c r="P25" s="465">
        <f>Model!N55</f>
        <v>1479.5136556293476</v>
      </c>
      <c r="Q25" s="465">
        <f>Model!O55</f>
        <v>1627.4650211922824</v>
      </c>
      <c r="R25" s="428"/>
      <c r="S25" s="449">
        <f>Model!P55</f>
        <v>0.30519191588145844</v>
      </c>
      <c r="T25" s="449">
        <f>Model!Q55</f>
        <v>0.15132147313245836</v>
      </c>
      <c r="U25" s="428"/>
    </row>
    <row r="26" s="265" customFormat="1" ht="13.5" customHeight="1">
      <c r="C26" t="s" s="428">
        <v>972</v>
      </c>
      <c r="D26" s="448">
        <f>Model!K182</f>
        <v>8616.545201991903</v>
      </c>
      <c r="E26" s="448">
        <f>Model!L182</f>
        <v>10252.000870159261</v>
      </c>
      <c r="F26" s="448">
        <f>Model!M182</f>
        <v>11877.707845807145</v>
      </c>
      <c r="G26" s="448">
        <f>Model!N182</f>
        <v>13617.175093682732</v>
      </c>
      <c r="H26" s="428"/>
      <c r="I26" t="s" s="466">
        <v>1398</v>
      </c>
      <c r="J26" s="449">
        <f>Model!H56</f>
        <v>0.22716531583407562</v>
      </c>
      <c r="K26" s="449">
        <f>Model!I56</f>
        <v>0.6187763250797362</v>
      </c>
      <c r="L26" s="449">
        <f>Model!J56</f>
        <v>0.2804032934420566</v>
      </c>
      <c r="M26" s="449">
        <f>Model!K56</f>
        <v>0.13619371474853903</v>
      </c>
      <c r="N26" s="449">
        <f>Model!L56</f>
        <v>0.12619371474853902</v>
      </c>
      <c r="O26" s="449">
        <f>Model!M56</f>
        <v>0.11619371474853901</v>
      </c>
      <c r="P26" s="449">
        <f>Model!N56</f>
        <v>0.106193714748539</v>
      </c>
      <c r="Q26" s="449">
        <f>Model!O56</f>
        <v>0.10000000000000009</v>
      </c>
      <c r="R26" s="428"/>
      <c r="S26" s="428"/>
      <c r="T26" s="428"/>
      <c r="U26" s="428"/>
    </row>
    <row r="27" customFormat="1" ht="13.5" customHeight="1">
      <c r="C27" t="s" s="428">
        <v>1842</v>
      </c>
      <c r="D27" s="448">
        <f>Model!K184</f>
        <v>8616.545201991903</v>
      </c>
      <c r="E27" s="448">
        <f>Model!L184</f>
        <v>10252.000870159261</v>
      </c>
      <c r="F27" s="448">
        <f>Model!M184</f>
        <v>11877.707845807145</v>
      </c>
      <c r="G27" s="448">
        <f>Model!N184</f>
        <v>13617.175093682732</v>
      </c>
      <c r="H27" s="428"/>
      <c r="I27" t="s" s="451">
        <v>1784</v>
      </c>
      <c r="J27" s="467">
        <f>Model!H57</f>
        <v>145.674</v>
      </c>
      <c r="K27" s="467">
        <f>Model!I57</f>
        <v>248.19</v>
      </c>
      <c r="L27" s="467">
        <f>Model!J57</f>
        <v>334.71799748251317</v>
      </c>
      <c r="M27" s="467">
        <f>Model!K57</f>
        <v>395.47458677782515</v>
      </c>
      <c r="N27" s="467">
        <f>Model!L57</f>
        <v>453.016663807723</v>
      </c>
      <c r="O27" s="467">
        <f>Model!M57</f>
        <v>514.1772394971034</v>
      </c>
      <c r="P27" s="467">
        <f>Model!N57</f>
        <v>573.4936124361247</v>
      </c>
      <c r="Q27" s="467">
        <f>Model!O57</f>
        <v>636.0283537011794</v>
      </c>
      <c r="R27" s="451"/>
      <c r="S27" s="452">
        <f>Model!P57</f>
        <v>0.35940328700204494</v>
      </c>
      <c r="T27" s="452">
        <f>Model!Q57</f>
        <v>0.18235763790103476</v>
      </c>
      <c r="U27" s="428"/>
    </row>
    <row r="28" customFormat="1" ht="13.5" customHeight="1">
      <c r="C28" t="s" s="451">
        <v>1451</v>
      </c>
      <c r="D28" s="452">
        <f>Model!K187</f>
        <v>0.307320965922542</v>
      </c>
      <c r="E28" s="452">
        <f>Model!L187</f>
        <v>0.2592668149868673</v>
      </c>
      <c r="F28" s="452">
        <f>Model!M187</f>
        <v>0.22979614912512192</v>
      </c>
      <c r="G28" s="452">
        <f>Model!N187</f>
        <v>0.21084479191093441</v>
      </c>
      <c r="H28" s="428"/>
      <c r="I28" t="s" s="466">
        <v>1402</v>
      </c>
      <c r="J28" s="449">
        <f>Model!H58</f>
        <v>0.322428137927371</v>
      </c>
      <c r="K28" s="449">
        <f>Model!I58</f>
        <v>0.33935036807735636</v>
      </c>
      <c r="L28" s="449">
        <f>Model!J58</f>
        <v>0.3574343837674717</v>
      </c>
      <c r="M28" s="449">
        <f>Model!K58</f>
        <v>0.3716922119342168</v>
      </c>
      <c r="N28" s="449">
        <f>Model!L58</f>
        <v>0.37806455168213143</v>
      </c>
      <c r="O28" s="449">
        <f>Model!M58</f>
        <v>0.38443689143004606</v>
      </c>
      <c r="P28" s="449">
        <f>Model!N58</f>
        <v>0.38762306130400337</v>
      </c>
      <c r="Q28" s="449">
        <f>Model!O58</f>
        <v>0.3908092311779607</v>
      </c>
      <c r="R28" s="428"/>
      <c r="S28" s="428"/>
      <c r="T28" s="428"/>
      <c r="U28" s="428"/>
    </row>
    <row r="29" ht="13.5" customHeight="1">
      <c r="C29" t="s" s="453">
        <v>1452</v>
      </c>
      <c r="D29" s="454">
        <f>Model!K188</f>
        <v>1.5019168837360741</v>
      </c>
      <c r="E29" s="454">
        <f>Model!L188</f>
        <v>1.7869868767600285</v>
      </c>
      <c r="F29" s="454">
        <f>Model!M188</f>
        <v>2.0703576126517893</v>
      </c>
      <c r="G29" s="454">
        <f>Model!N188</f>
        <v>2.3735574644539157</v>
      </c>
      <c r="H29" s="428"/>
      <c r="I29" t="s" s="429">
        <v>931</v>
      </c>
      <c r="J29" s="465">
        <f>Model!H59</f>
        <v>-103.201</v>
      </c>
      <c r="K29" s="465">
        <f>Model!I59</f>
        <v>-127.896</v>
      </c>
      <c r="L29" s="465">
        <f>Model!J59</f>
        <v>-127.896</v>
      </c>
      <c r="M29" s="465">
        <f>Model!K59</f>
        <v>-127.896</v>
      </c>
      <c r="N29" s="465">
        <f>Model!L59</f>
        <v>-135.96583567073958</v>
      </c>
      <c r="O29" s="465">
        <f>Model!M59</f>
        <v>-143.8650234334759</v>
      </c>
      <c r="P29" s="465">
        <f>Model!N59</f>
        <v>-151.50380406386913</v>
      </c>
      <c r="Q29" s="465">
        <f>Model!O59</f>
        <v>-159.0789942670626</v>
      </c>
      <c r="R29" s="428"/>
      <c r="S29" s="428"/>
      <c r="T29" s="428"/>
      <c r="U29" s="428"/>
    </row>
    <row r="30" s="265" customFormat="1" ht="13.5" customHeight="1">
      <c r="C30" s="428"/>
      <c r="D30" s="428"/>
      <c r="E30" s="428"/>
      <c r="F30" s="428"/>
      <c r="G30" s="428"/>
      <c r="H30" s="428"/>
      <c r="I30" t="s" s="451">
        <v>1791</v>
      </c>
      <c r="J30" s="467">
        <f>Model!H60</f>
        <v>42.47300000000001</v>
      </c>
      <c r="K30" s="467">
        <f>Model!I60</f>
        <v>120.294</v>
      </c>
      <c r="L30" s="467">
        <f>Model!J60</f>
        <v>206.82199748251315</v>
      </c>
      <c r="M30" s="467">
        <f>Model!K60</f>
        <v>267.57858677782514</v>
      </c>
      <c r="N30" s="467">
        <f>Model!L60</f>
        <v>317.0508281369834</v>
      </c>
      <c r="O30" s="467">
        <f>Model!M60</f>
        <v>370.3122160636275</v>
      </c>
      <c r="P30" s="467">
        <f>Model!N60</f>
        <v>421.98980837225565</v>
      </c>
      <c r="Q30" s="467">
        <f>Model!O60</f>
        <v>476.9493594341168</v>
      </c>
      <c r="R30" s="451"/>
      <c r="S30" s="452">
        <f>Model!P60</f>
        <v>0.3522054569401085</v>
      </c>
      <c r="T30" s="452">
        <f>Model!Q60</f>
        <v>0.28532098805944317</v>
      </c>
      <c r="U30" s="428"/>
    </row>
    <row r="31" ht="13.5" customHeight="1">
      <c r="C31" t="str" s="428">
        <f>"Max. price per share at "&amp;TEXT(Model!$M$5,"0.0%")&amp;" IRR"</f>
        <v>Max. price per share at 20.0% IRR</v>
      </c>
      <c r="D31" s="450">
        <f>Model!K192</f>
        <v>27.135620193144927</v>
      </c>
      <c r="E31" s="450">
        <f>Model!L192</f>
        <v>26.966706657343714</v>
      </c>
      <c r="F31" s="450">
        <f>Model!M192</f>
        <v>26.240730205608532</v>
      </c>
      <c r="G31" s="450">
        <f>Model!N192</f>
        <v>25.32829056423241</v>
      </c>
      <c r="H31" s="428"/>
      <c r="I31" t="s" s="430">
        <v>697</v>
      </c>
      <c r="J31" s="448"/>
      <c r="K31" s="448"/>
      <c r="L31" s="448">
        <f>Model!J64</f>
        <v>-15.29087343530125</v>
      </c>
      <c r="M31" s="448">
        <f>Model!K64</f>
        <v>-17.373394290204683</v>
      </c>
      <c r="N31" s="448">
        <f>Model!L64</f>
        <v>-19.56580745347667</v>
      </c>
      <c r="O31" s="448">
        <f>Model!M64</f>
        <v>-21.839231303550775</v>
      </c>
      <c r="P31" s="448">
        <f>Model!N64</f>
        <v>-24.15842040292741</v>
      </c>
      <c r="Q31" s="448">
        <f>Model!O64</f>
        <v>-26.57426244322015</v>
      </c>
      <c r="R31" s="428"/>
      <c r="S31" s="428"/>
      <c r="T31" s="428"/>
      <c r="U31" s="428"/>
    </row>
    <row r="32" ht="13.5" customHeight="1">
      <c r="C32" t="str" s="428">
        <f>"Max. price per share at "&amp;TEXT(Model!$M$6,"0.0%")&amp;" IRR"</f>
        <v>Max. price per share at 22.5% IRR</v>
      </c>
      <c r="D32" s="450">
        <f>Model!K194</f>
        <v>26.482602387629083</v>
      </c>
      <c r="E32" s="450">
        <f>Model!L194</f>
        <v>25.897182275430243</v>
      </c>
      <c r="F32" s="450">
        <f>Model!M194</f>
        <v>24.809690787661637</v>
      </c>
      <c r="G32" s="450">
        <f>Model!N194</f>
        <v>23.590269969091864</v>
      </c>
      <c r="H32" s="428"/>
      <c r="I32" t="s" s="429">
        <v>1793</v>
      </c>
      <c r="J32" s="465"/>
      <c r="K32" s="465"/>
      <c r="L32" s="465">
        <f>Model!J65</f>
        <v>191.5311240472119</v>
      </c>
      <c r="M32" s="465">
        <f>Model!K65</f>
        <v>250.20519248762045</v>
      </c>
      <c r="N32" s="465">
        <f>Model!L65</f>
        <v>297.4850206835067</v>
      </c>
      <c r="O32" s="465">
        <f>Model!M65</f>
        <v>348.4729847600767</v>
      </c>
      <c r="P32" s="465">
        <f>Model!N65</f>
        <v>397.83138796932826</v>
      </c>
      <c r="Q32" s="465">
        <f>Model!O65</f>
        <v>450.3750969908966</v>
      </c>
      <c r="R32" s="428"/>
      <c r="S32" s="428"/>
      <c r="T32" s="428"/>
      <c r="U32" s="428"/>
    </row>
    <row r="33" ht="13.5" customHeight="1">
      <c r="C33" t="str" s="428">
        <f>"Max. price per share at "&amp;TEXT(Model!$M$7,"0.0%")&amp;" IRR"</f>
        <v>Max. price per share at 25.0% IRR</v>
      </c>
      <c r="D33" s="450">
        <f>Model!K196</f>
        <v>25.862022311969046</v>
      </c>
      <c r="E33" s="450">
        <f>Model!L196</f>
        <v>24.901577715992612</v>
      </c>
      <c r="F33" s="450">
        <f>Model!M196</f>
        <v>23.50472962826206</v>
      </c>
      <c r="G33" s="450">
        <f>Model!N196</f>
        <v>22.037401625642207</v>
      </c>
      <c r="H33" s="428"/>
      <c r="I33" t="s" s="430">
        <v>668</v>
      </c>
      <c r="J33" s="448"/>
      <c r="K33" s="448"/>
      <c r="L33" s="448">
        <f>Model!J75</f>
        <v>-122.02940423401043</v>
      </c>
      <c r="M33" s="448">
        <f>Model!K75</f>
        <v>-239.3579775336762</v>
      </c>
      <c r="N33" s="448">
        <f>Model!L75</f>
        <v>-226.92654922612036</v>
      </c>
      <c r="O33" s="448">
        <f>Model!M75</f>
        <v>-212.094535488096</v>
      </c>
      <c r="P33" s="448">
        <f>Model!N75</f>
        <v>-200.8120449318096</v>
      </c>
      <c r="Q33" s="448">
        <f>Model!O75</f>
        <v>-184.79434073078863</v>
      </c>
      <c r="R33" s="428"/>
      <c r="S33" s="428"/>
      <c r="T33" s="428"/>
      <c r="U33" s="428"/>
    </row>
    <row r="34" ht="13.5" customHeight="1">
      <c r="C34" t="str" s="428">
        <f>"Premium / (discount) to offer at "&amp;TEXT(Model!$M$6,"0.0%")</f>
        <v>Premium / (discount) to offer at 22.5%</v>
      </c>
      <c r="D34" s="449">
        <f>Model!K197</f>
        <v>0.07872107485250845</v>
      </c>
      <c r="E34" s="449">
        <f>Model!L197</f>
        <v>0.05487504176905267</v>
      </c>
      <c r="F34" s="449">
        <f>Model!M197</f>
        <v>0.010578036157296689</v>
      </c>
      <c r="G34" s="449">
        <f>Model!N197</f>
        <v>-0.03909287294941499</v>
      </c>
      <c r="H34" s="428"/>
      <c r="I34" t="s" s="430">
        <v>1129</v>
      </c>
      <c r="J34" s="448"/>
      <c r="K34" s="448"/>
      <c r="L34" s="448">
        <f>Model!J76</f>
        <v>1.44179351954766</v>
      </c>
      <c r="M34" s="448">
        <f>Model!K76</f>
        <v>2.784416056269291</v>
      </c>
      <c r="N34" s="448">
        <f>Model!L76</f>
        <v>2.6475</v>
      </c>
      <c r="O34" s="448">
        <f>Model!M76</f>
        <v>2.6475</v>
      </c>
      <c r="P34" s="448">
        <f>Model!N76</f>
        <v>2.647499999999839</v>
      </c>
      <c r="Q34" s="448">
        <f>Model!O76</f>
        <v>2.647500002506948</v>
      </c>
      <c r="R34" s="428"/>
      <c r="S34" s="428"/>
      <c r="T34" s="428"/>
      <c r="U34" s="428"/>
    </row>
    <row r="35" ht="13.5" customHeight="1">
      <c r="C35" s="428"/>
      <c r="D35" s="428"/>
      <c r="E35" s="428"/>
      <c r="F35" s="428"/>
      <c r="G35" s="428"/>
      <c r="H35" s="428"/>
      <c r="I35" t="s" s="430">
        <v>1130</v>
      </c>
      <c r="J35" s="448"/>
      <c r="K35" s="448"/>
      <c r="L35" s="448">
        <f>Model!J78</f>
        <v>-3.352407559954047</v>
      </c>
      <c r="M35" s="448">
        <f>Model!K78</f>
        <v>-8.496580822713646</v>
      </c>
      <c r="N35" s="448">
        <f>Model!L78</f>
        <v>-10.11848861212058</v>
      </c>
      <c r="O35" s="448">
        <f>Model!M78</f>
        <v>-11.868965997049422</v>
      </c>
      <c r="P35" s="448">
        <f>Model!N78</f>
        <v>-13.561722272882577</v>
      </c>
      <c r="Q35" s="448">
        <f>Model!O78</f>
        <v>-15.364514458033078</v>
      </c>
      <c r="R35" s="428"/>
      <c r="S35" s="428"/>
      <c r="T35" s="428"/>
      <c r="U35" s="428"/>
    </row>
    <row r="36" ht="13.5" customHeight="1"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</row>
    <row r="37" ht="13.5" customHeight="1">
      <c r="C37" t="s" s="548">
        <v>1987</v>
      </c>
      <c r="D37" s="548"/>
      <c r="E37" s="548"/>
      <c r="F37" s="548"/>
      <c r="G37" s="548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</row>
    <row r="38" ht="13.5" customHeight="1">
      <c r="C38" s="559"/>
      <c r="D38" s="559"/>
      <c r="E38" t="s" s="560">
        <v>2117</v>
      </c>
      <c r="F38" s="560"/>
      <c r="G38" t="s" s="560">
        <v>2118</v>
      </c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</row>
    <row r="39" customFormat="1" ht="13.5" customHeight="1">
      <c r="C39" t="s" s="255">
        <v>1721</v>
      </c>
      <c r="D39" s="255"/>
      <c r="E39" s="255"/>
      <c r="F39" s="255"/>
      <c r="G39" s="561">
        <f>Model!E5</f>
        <v>24.55</v>
      </c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</row>
    <row r="40" ht="13.5" customHeight="1">
      <c r="C40" t="s" s="255">
        <v>2119</v>
      </c>
      <c r="D40" s="255"/>
      <c r="E40" s="562">
        <f>Model!U4</f>
        <v>288.632333</v>
      </c>
      <c r="F40" s="255"/>
      <c r="G40" s="525">
        <f>E40*$G$39</f>
        <v>7085.92377515</v>
      </c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</row>
    <row r="41" ht="13.5" customHeight="1">
      <c r="C41" t="s" s="255">
        <v>2120</v>
      </c>
      <c r="D41" s="255"/>
      <c r="E41" s="562">
        <f>Model!U5</f>
        <v>4.506422</v>
      </c>
      <c r="F41" s="255"/>
      <c r="G41" s="525">
        <f>E41*$G$39</f>
        <v>110.6326601</v>
      </c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</row>
    <row r="42" ht="13.5" customHeight="1">
      <c r="C42" t="s" s="255">
        <v>2358</v>
      </c>
      <c r="D42" s="255"/>
      <c r="E42" s="562">
        <f>Model!U6</f>
        <v>8.547355</v>
      </c>
      <c r="F42" s="255"/>
      <c r="G42" s="525">
        <f>E42*$G$39</f>
        <v>209.83756524999998</v>
      </c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</row>
    <row r="43" ht="13.5" customHeight="1">
      <c r="C43" t="s" s="255">
        <v>2331</v>
      </c>
      <c r="D43" s="255"/>
      <c r="E43" s="562">
        <f>Model!U7</f>
        <v>3.984521</v>
      </c>
      <c r="F43" s="255"/>
      <c r="G43" s="525">
        <f>E43*$G$39</f>
        <v>97.81999055</v>
      </c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</row>
    <row r="44" ht="13.5" customHeight="1">
      <c r="C44" t="s" s="255">
        <v>2123</v>
      </c>
      <c r="D44" s="255"/>
      <c r="E44" s="562">
        <f>Model!U8</f>
        <v>7.590682</v>
      </c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</row>
    <row r="45" ht="13.5" customHeight="1">
      <c r="C45" t="s" s="255">
        <v>2124</v>
      </c>
      <c r="D45" s="255"/>
      <c r="E45" s="562">
        <f>Model!U12</f>
        <v>4.780119907128309</v>
      </c>
      <c r="F45" s="255"/>
      <c r="G45" s="525">
        <f>E45*$G$39</f>
        <v>117.35194372</v>
      </c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</row>
    <row r="46" ht="13.5" customHeight="1">
      <c r="C46" t="s" s="255">
        <v>2332</v>
      </c>
      <c r="D46" s="255"/>
      <c r="E46" s="720">
        <f>Model!U11</f>
        <v>0.680244399185336</v>
      </c>
      <c r="F46" s="255"/>
      <c r="G46" s="717">
        <f>E46*$G$39</f>
        <v>16.7</v>
      </c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</row>
    <row r="47" ht="13.5" customHeight="1">
      <c r="C47" t="s" s="563">
        <v>2125</v>
      </c>
      <c r="D47" s="563"/>
      <c r="E47" s="564">
        <f>SUM(E40:E43)+E45+E46</f>
        <v>311.1309953063136</v>
      </c>
      <c r="F47" s="563"/>
      <c r="G47" s="565">
        <f>SUM(G40:G46)</f>
        <v>7638.26593477</v>
      </c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</row>
    <row r="48" ht="13.5" customHeight="1">
      <c r="C48" t="s" s="255">
        <v>2126</v>
      </c>
      <c r="D48" s="255"/>
      <c r="E48" s="255"/>
      <c r="F48" s="255"/>
      <c r="G48" s="525">
        <f>Model!U15</f>
        <v>8</v>
      </c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</row>
    <row r="49" ht="13.5" customHeight="1">
      <c r="C49" t="s" s="255">
        <v>2127</v>
      </c>
      <c r="D49" s="255"/>
      <c r="E49" s="255"/>
      <c r="F49" s="255"/>
      <c r="G49" s="525">
        <f>Model!U16</f>
        <v>817</v>
      </c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</row>
    <row r="50" ht="13.5" customHeight="1">
      <c r="C50" t="s" s="255">
        <v>2128</v>
      </c>
      <c r="D50" s="255"/>
      <c r="E50" s="255"/>
      <c r="F50" s="255"/>
      <c r="G50" s="525">
        <f>Model!U17</f>
        <v>-81.507</v>
      </c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</row>
    <row r="51" ht="13.5" customHeight="1">
      <c r="C51" t="s" s="563">
        <v>1746</v>
      </c>
      <c r="D51" s="563"/>
      <c r="E51" s="563"/>
      <c r="F51" s="563"/>
      <c r="G51" s="565">
        <f>SUM(G47:G50)</f>
        <v>8381.75893477</v>
      </c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</row>
    <row r="52" ht="13.5" customHeight="1">
      <c r="C52" t="s" s="279">
        <v>2333</v>
      </c>
      <c r="D52" s="279"/>
      <c r="E52" s="279"/>
      <c r="F52" s="279"/>
      <c r="G52" s="721">
        <f>Model!F48</f>
        <v>7440.396354790001</v>
      </c>
      <c r="H52" s="255"/>
      <c r="I52" t="s" s="548">
        <v>2115</v>
      </c>
      <c r="J52" s="548"/>
      <c r="K52" s="548"/>
      <c r="L52" s="548"/>
      <c r="M52" s="548"/>
      <c r="N52" s="548"/>
      <c r="O52" s="548"/>
      <c r="P52" s="548"/>
      <c r="Q52" s="548"/>
      <c r="R52" s="548"/>
      <c r="S52" s="548"/>
      <c r="T52" s="548"/>
      <c r="U52" s="548"/>
    </row>
    <row r="53" ht="13.5" customHeight="1">
      <c r="C53" t="s" s="279">
        <v>2357</v>
      </c>
      <c r="D53" s="279"/>
      <c r="E53" s="279"/>
      <c r="F53" s="279"/>
      <c r="G53" s="721">
        <f>Model!G48</f>
        <v>197.8695799799986</v>
      </c>
      <c r="H53" s="255"/>
      <c r="I53" s="548"/>
      <c r="J53" s="548"/>
      <c r="K53" s="548"/>
      <c r="L53" s="548"/>
      <c r="M53" s="548"/>
      <c r="N53" s="548"/>
      <c r="O53" s="548"/>
      <c r="P53" s="548"/>
      <c r="Q53" s="548"/>
      <c r="R53" s="548"/>
      <c r="S53" s="548"/>
      <c r="T53" s="548"/>
      <c r="U53" s="548"/>
    </row>
    <row r="54" ht="13.5" customHeight="1">
      <c r="C54" t="s" s="255">
        <v>2129</v>
      </c>
      <c r="D54" s="255"/>
      <c r="E54" s="255"/>
      <c r="F54" s="255"/>
      <c r="G54" s="717">
        <f>G47-Model!U14</f>
        <v>0</v>
      </c>
      <c r="H54" s="255"/>
      <c r="I54" s="548"/>
      <c r="J54" s="548"/>
      <c r="K54" s="548"/>
      <c r="L54" s="548"/>
      <c r="M54" s="548"/>
      <c r="N54" s="548"/>
      <c r="O54" s="548"/>
      <c r="P54" s="548"/>
      <c r="Q54" s="548"/>
      <c r="R54" s="548"/>
      <c r="S54" s="548"/>
      <c r="T54" s="548"/>
      <c r="U54" s="548"/>
    </row>
    <row r="55" ht="13.5" customHeight="1"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</row>
    <row r="56" ht="13.5" customHeight="1">
      <c r="C56" s="255"/>
      <c r="D56" s="255"/>
      <c r="E56" s="255"/>
      <c r="F56" s="255"/>
      <c r="G56" s="255"/>
      <c r="H56" s="255"/>
      <c r="I56" s="255"/>
      <c r="J56" t="s" s="292">
        <v>1997</v>
      </c>
      <c r="K56" s="255"/>
      <c r="L56" s="255"/>
      <c r="M56" s="255"/>
      <c r="N56" s="255"/>
      <c r="O56" s="255"/>
      <c r="P56" t="s" s="292">
        <v>1998</v>
      </c>
      <c r="Q56" s="255"/>
      <c r="R56" s="255"/>
      <c r="S56" s="255"/>
      <c r="T56" s="255"/>
      <c r="U56" s="255"/>
    </row>
    <row r="57" ht="13.5" customHeight="1">
      <c r="C57" t="s" s="548">
        <v>2130</v>
      </c>
      <c r="D57" s="548"/>
      <c r="E57" s="548"/>
      <c r="F57" s="548"/>
      <c r="G57" s="548"/>
      <c r="H57" s="255"/>
      <c r="I57" s="255"/>
      <c r="J57" s="255"/>
      <c r="K57" t="s" s="549">
        <v>1986</v>
      </c>
      <c r="L57" s="255"/>
      <c r="M57" s="255"/>
      <c r="N57" s="255"/>
      <c r="O57" s="255"/>
      <c r="P57" s="255"/>
      <c r="Q57" t="s" s="549">
        <v>2116</v>
      </c>
      <c r="R57" s="255"/>
      <c r="S57" s="255"/>
      <c r="T57" s="255"/>
      <c r="U57" s="255"/>
    </row>
    <row r="58" ht="38" customHeight="1">
      <c r="C58" s="559"/>
      <c r="D58" s="559"/>
      <c r="E58" t="s" s="560">
        <v>2007</v>
      </c>
      <c r="F58" s="560"/>
      <c r="G58" t="s" s="560">
        <v>2008</v>
      </c>
      <c r="H58" s="255"/>
      <c r="I58" s="255"/>
      <c r="J58" t="s" s="554">
        <v>1936</v>
      </c>
      <c r="K58" s="551">
        <f>Model!E221</f>
        <v>-2</v>
      </c>
      <c r="L58" s="551">
        <f>Model!F221</f>
        <v>-1</v>
      </c>
      <c r="M58" s="551">
        <f>Model!G221</f>
        <v>0</v>
      </c>
      <c r="N58" s="551">
        <f>Model!H221</f>
        <v>1</v>
      </c>
      <c r="O58" s="551">
        <f>Model!I221</f>
        <v>2</v>
      </c>
      <c r="P58" t="s" s="554">
        <v>1936</v>
      </c>
      <c r="Q58" s="556">
        <f>Model!M221</f>
        <v>-0.04</v>
      </c>
      <c r="R58" s="556">
        <f>Model!N221</f>
        <v>-0.02</v>
      </c>
      <c r="S58" s="556">
        <f>Model!O221</f>
        <v>0</v>
      </c>
      <c r="T58" s="556">
        <f>Model!P221</f>
        <v>0.02</v>
      </c>
      <c r="U58" s="556">
        <f>Model!Q221</f>
        <v>0.04</v>
      </c>
    </row>
    <row r="59" ht="13.5" customHeight="1">
      <c r="C59" t="s" s="255">
        <v>1989</v>
      </c>
      <c r="D59" s="255"/>
      <c r="E59" s="566">
        <f>'Driver Assumptions'!E215</f>
        <v>5737.031985790003</v>
      </c>
      <c r="F59" s="255"/>
      <c r="G59" s="566">
        <f>'Driver Assumptions'!F215</f>
        <v>5737.031985790003</v>
      </c>
      <c r="H59" s="255"/>
      <c r="I59" s="255"/>
      <c r="J59" s="550">
        <f>Model!D222</f>
        <v>-4</v>
      </c>
      <c r="K59" s="552">
        <f>Model!E222</f>
        <v>0.18793370127677916</v>
      </c>
      <c r="L59" s="552">
        <f>Model!F222</f>
        <v>0.1716759145259857</v>
      </c>
      <c r="M59" s="552">
        <f>Model!G222</f>
        <v>0.1565751492977143</v>
      </c>
      <c r="N59" s="552">
        <f>Model!H222</f>
        <v>0.1424898445606232</v>
      </c>
      <c r="O59" s="552">
        <f>Model!I222</f>
        <v>0.12930226922035218</v>
      </c>
      <c r="P59" s="550">
        <f>Model!L222</f>
        <v>-4</v>
      </c>
      <c r="Q59" s="552">
        <f>Model!M222</f>
        <v>0.08381865322589875</v>
      </c>
      <c r="R59" s="552">
        <f>Model!N222</f>
        <v>0.12072136998176575</v>
      </c>
      <c r="S59" s="552">
        <f>Model!O222</f>
        <v>0.1565751492977143</v>
      </c>
      <c r="T59" s="552">
        <f>Model!P222</f>
        <v>0.19159882664680478</v>
      </c>
      <c r="U59" s="552">
        <f>Model!Q222</f>
        <v>0.22595109343528744</v>
      </c>
    </row>
    <row r="60" ht="13.5" customHeight="1">
      <c r="C60" t="s" s="255">
        <v>1990</v>
      </c>
      <c r="D60" s="255"/>
      <c r="E60" s="566">
        <f>'Driver Assumptions'!E216</f>
        <v>13813.615840009552</v>
      </c>
      <c r="F60" s="255"/>
      <c r="G60" s="566">
        <f>'Driver Assumptions'!F216</f>
        <v>7545.1896503010075</v>
      </c>
      <c r="H60" s="255"/>
      <c r="I60" s="255"/>
      <c r="J60" s="550">
        <f>Model!D223</f>
        <v>-2</v>
      </c>
      <c r="K60" s="552">
        <f>Model!E223</f>
        <v>0.21685689091682434</v>
      </c>
      <c r="L60" s="552">
        <f>Model!F223</f>
        <v>0.20020328164100645</v>
      </c>
      <c r="M60" s="552">
        <f>Model!G223</f>
        <v>0.18473483920097353</v>
      </c>
      <c r="N60" s="552">
        <f>Model!H223</f>
        <v>0.1703065931797028</v>
      </c>
      <c r="O60" s="552">
        <f>Model!I223</f>
        <v>0.15679792761802672</v>
      </c>
      <c r="P60" s="550">
        <f>Model!L223</f>
        <v>-2</v>
      </c>
      <c r="Q60" s="552">
        <f>Model!M223</f>
        <v>0.11229678988456726</v>
      </c>
      <c r="R60" s="552">
        <f>Model!N223</f>
        <v>0.14897289872169497</v>
      </c>
      <c r="S60" s="552">
        <f>Model!O223</f>
        <v>0.18473483920097353</v>
      </c>
      <c r="T60" s="552">
        <f>Model!P223</f>
        <v>0.21977142691612242</v>
      </c>
      <c r="U60" s="552">
        <f>Model!Q223</f>
        <v>0.25422052741050716</v>
      </c>
    </row>
    <row r="61" ht="13.5" customHeight="1">
      <c r="C61" t="s" s="255">
        <v>2131</v>
      </c>
      <c r="D61" s="255"/>
      <c r="E61" s="566">
        <f>'Driver Assumptions'!E217</f>
        <v>0</v>
      </c>
      <c r="F61" s="255"/>
      <c r="G61" s="566">
        <f>'Driver Assumptions'!F217</f>
        <v>0</v>
      </c>
      <c r="H61" s="255"/>
      <c r="I61" s="255"/>
      <c r="J61" s="550">
        <f>Model!D224</f>
        <v>0</v>
      </c>
      <c r="K61" s="552">
        <f>Model!E224</f>
        <v>0.24354447722434996</v>
      </c>
      <c r="L61" s="552">
        <f>Model!F224</f>
        <v>0.2265256106853485</v>
      </c>
      <c r="M61" s="553">
        <f>Model!G224</f>
        <v>0.21071793437004088</v>
      </c>
      <c r="N61" s="552">
        <f>Model!H224</f>
        <v>0.19597324728965762</v>
      </c>
      <c r="O61" s="552">
        <f>Model!I224</f>
        <v>0.18216832280159</v>
      </c>
      <c r="P61" s="550">
        <f>Model!L224</f>
        <v>0</v>
      </c>
      <c r="Q61" s="552">
        <f>Model!M224</f>
        <v>0.13841753602027895</v>
      </c>
      <c r="R61" s="552">
        <f>Model!N224</f>
        <v>0.1749712646007538</v>
      </c>
      <c r="S61" s="553">
        <f>Model!O224</f>
        <v>0.21071793437004088</v>
      </c>
      <c r="T61" s="552">
        <f>Model!P224</f>
        <v>0.24582349658012387</v>
      </c>
      <c r="U61" s="552">
        <f>Model!Q224</f>
        <v>0.2804097950458526</v>
      </c>
    </row>
    <row r="62" ht="13.5" customHeight="1">
      <c r="C62" t="s" s="255">
        <v>1992</v>
      </c>
      <c r="D62" s="255"/>
      <c r="E62" s="566">
        <f>'Driver Assumptions'!E218</f>
        <v>848.4549779592737</v>
      </c>
      <c r="F62" s="255"/>
      <c r="G62" s="566">
        <f>'Driver Assumptions'!F218</f>
        <v>315.22650861173406</v>
      </c>
      <c r="H62" s="255"/>
      <c r="I62" s="255"/>
      <c r="J62" s="550">
        <f>Model!D225</f>
        <v>2</v>
      </c>
      <c r="K62" s="552">
        <f>Model!E225</f>
        <v>0.26835578083992007</v>
      </c>
      <c r="L62" s="552">
        <f>Model!F225</f>
        <v>0.25099735856056216</v>
      </c>
      <c r="M62" s="552">
        <f>Model!G225</f>
        <v>0.23487429022789</v>
      </c>
      <c r="N62" s="552">
        <f>Model!H225</f>
        <v>0.2198354184627533</v>
      </c>
      <c r="O62" s="552">
        <f>Model!I225</f>
        <v>0.20575504899024968</v>
      </c>
      <c r="P62" s="550">
        <f>Model!L225</f>
        <v>2</v>
      </c>
      <c r="Q62" s="552">
        <f>Model!M225</f>
        <v>0.1625841677188873</v>
      </c>
      <c r="R62" s="552">
        <f>Model!N225</f>
        <v>0.199089115858078</v>
      </c>
      <c r="S62" s="552">
        <f>Model!O225</f>
        <v>0.23487429022789</v>
      </c>
      <c r="T62" s="552">
        <f>Model!P225</f>
        <v>0.2700877249240875</v>
      </c>
      <c r="U62" s="552">
        <f>Model!Q225</f>
        <v>0.3048385441303253</v>
      </c>
    </row>
    <row r="63" ht="13.5" customHeight="1">
      <c r="C63" t="s" s="255">
        <v>2334</v>
      </c>
      <c r="D63" s="255"/>
      <c r="E63" s="566">
        <f>'Driver Assumptions'!E219</f>
        <v>19.72694897999861</v>
      </c>
      <c r="F63" s="255"/>
      <c r="G63" s="566">
        <f>'Driver Assumptions'!F219</f>
        <v>19.72694897999861</v>
      </c>
      <c r="H63" s="255"/>
      <c r="I63" s="255"/>
      <c r="J63" s="550">
        <f>Model!D226</f>
        <v>4</v>
      </c>
      <c r="K63" s="552">
        <f>Model!E226</f>
        <v>0.2915673673152924</v>
      </c>
      <c r="L63" s="552">
        <f>Model!F226</f>
        <v>0.2738912761211395</v>
      </c>
      <c r="M63" s="552">
        <f>Model!G226</f>
        <v>0.2574731290340424</v>
      </c>
      <c r="N63" s="552">
        <f>Model!H226</f>
        <v>0.24215905070304872</v>
      </c>
      <c r="O63" s="552">
        <f>Model!I226</f>
        <v>0.2278209984302521</v>
      </c>
      <c r="P63" s="550">
        <f>Model!L226</f>
        <v>4</v>
      </c>
      <c r="Q63" s="552">
        <f>Model!M226</f>
        <v>0.1851015508174896</v>
      </c>
      <c r="R63" s="552">
        <f>Model!N226</f>
        <v>0.22161093354225156</v>
      </c>
      <c r="S63" s="552">
        <f>Model!O226</f>
        <v>0.2574731290340424</v>
      </c>
      <c r="T63" s="552">
        <f>Model!P226</f>
        <v>0.2928218066692354</v>
      </c>
      <c r="U63" s="552">
        <f>Model!Q226</f>
        <v>0.3277557671070098</v>
      </c>
    </row>
    <row r="64" ht="13.5" customHeight="1">
      <c r="C64" t="s" s="563">
        <v>1994</v>
      </c>
      <c r="D64" s="563"/>
      <c r="E64" s="567">
        <f>'Driver Assumptions'!E220</f>
        <v>20418.829752738828</v>
      </c>
      <c r="F64" s="563"/>
      <c r="G64" s="567">
        <f>'Driver Assumptions'!F220</f>
        <v>13617.175093682741</v>
      </c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</row>
    <row r="65" ht="13.5" customHeight="1">
      <c r="C65" t="s" s="563">
        <v>1452</v>
      </c>
      <c r="D65" s="563"/>
      <c r="E65" s="568">
        <f>'Driver Assumptions'!E222</f>
        <v>3.5591277516517286</v>
      </c>
      <c r="F65" s="563"/>
      <c r="G65" s="568">
        <f>'Driver Assumptions'!F222</f>
        <v>2.373557464453917</v>
      </c>
      <c r="H65" s="255"/>
      <c r="I65" s="255"/>
      <c r="J65" t="s" s="292">
        <v>2000</v>
      </c>
      <c r="K65" s="255"/>
      <c r="L65" s="255"/>
      <c r="M65" s="255"/>
      <c r="N65" s="255"/>
      <c r="O65" s="255"/>
      <c r="P65" t="s" s="292">
        <v>2002</v>
      </c>
      <c r="Q65" s="255"/>
      <c r="R65" s="255"/>
      <c r="S65" s="255"/>
      <c r="T65" s="255"/>
      <c r="U65" s="255"/>
    </row>
    <row r="66" ht="13.5" customHeight="1">
      <c r="C66" t="s" s="292">
        <v>1451</v>
      </c>
      <c r="D66" s="292"/>
      <c r="E66" s="569">
        <f>'Driver Assumptions'!E221</f>
        <v>0.32423140406608586</v>
      </c>
      <c r="F66" s="292"/>
      <c r="G66" s="569">
        <f>'Driver Assumptions'!F221</f>
        <v>0.21071793437004088</v>
      </c>
      <c r="H66" s="255"/>
      <c r="I66" s="255"/>
      <c r="J66" s="255"/>
      <c r="K66" t="s" s="549">
        <v>2001</v>
      </c>
      <c r="L66" s="255"/>
      <c r="M66" s="255"/>
      <c r="N66" s="255"/>
      <c r="O66" s="255"/>
      <c r="P66" s="255"/>
      <c r="Q66" t="s" s="549">
        <v>2001</v>
      </c>
      <c r="R66" s="255"/>
      <c r="S66" s="255"/>
      <c r="T66" s="255"/>
      <c r="U66" s="255"/>
    </row>
    <row r="67" ht="38" customHeight="1">
      <c r="C67" s="255"/>
      <c r="D67" s="255"/>
      <c r="E67" s="255"/>
      <c r="F67" s="255"/>
      <c r="G67" s="255"/>
      <c r="H67" s="255"/>
      <c r="I67" s="255"/>
      <c r="J67" t="s" s="554">
        <v>1936</v>
      </c>
      <c r="K67" s="556">
        <f>Model!E229</f>
        <v>-0.04</v>
      </c>
      <c r="L67" s="556">
        <f>Model!F229</f>
        <v>-0.02</v>
      </c>
      <c r="M67" s="556">
        <f>Model!G229</f>
        <v>0</v>
      </c>
      <c r="N67" s="556">
        <f>Model!H229</f>
        <v>0.02</v>
      </c>
      <c r="O67" s="556">
        <f>Model!I229</f>
        <v>0.04</v>
      </c>
      <c r="P67" t="s" s="554">
        <v>2116</v>
      </c>
      <c r="Q67" s="556">
        <f>Model!M229</f>
        <v>-0.04</v>
      </c>
      <c r="R67" s="556">
        <f>Model!N229</f>
        <v>-0.02</v>
      </c>
      <c r="S67" s="556">
        <f>Model!O229</f>
        <v>0</v>
      </c>
      <c r="T67" s="556">
        <f>Model!P229</f>
        <v>0.02</v>
      </c>
      <c r="U67" s="556">
        <f>Model!Q229</f>
        <v>0.04</v>
      </c>
    </row>
    <row r="68" ht="13.5" customHeight="1">
      <c r="C68" s="255"/>
      <c r="D68" s="255"/>
      <c r="E68" s="255"/>
      <c r="F68" s="255"/>
      <c r="G68" s="255"/>
      <c r="H68" s="255"/>
      <c r="I68" s="255"/>
      <c r="J68" s="550">
        <f>Model!D230</f>
        <v>-4</v>
      </c>
      <c r="K68" s="552">
        <f>Model!E230</f>
        <v>0.11646602749824525</v>
      </c>
      <c r="L68" s="552">
        <f>Model!F230</f>
        <v>0.1372511088848114</v>
      </c>
      <c r="M68" s="552">
        <f>Model!G230</f>
        <v>0.1565751492977143</v>
      </c>
      <c r="N68" s="552">
        <f>Model!H230</f>
        <v>0.1750200927257538</v>
      </c>
      <c r="O68" s="552">
        <f>Model!I230</f>
        <v>0.1923007667064667</v>
      </c>
      <c r="P68" s="555">
        <f>Model!L230</f>
        <v>-0.04</v>
      </c>
      <c r="Q68" s="552">
        <f>Model!M230</f>
        <v>0.09781569838523865</v>
      </c>
      <c r="R68" s="552">
        <f>Model!N230</f>
        <v>0.1187544286251068</v>
      </c>
      <c r="S68" s="552">
        <f>Model!O230</f>
        <v>0.13841753602027895</v>
      </c>
      <c r="T68" s="552">
        <f>Model!P230</f>
        <v>0.15673994421958928</v>
      </c>
      <c r="U68" s="552">
        <f>Model!Q230</f>
        <v>0.1742910921573639</v>
      </c>
    </row>
    <row r="69" ht="13.5" customHeight="1">
      <c r="C69" s="255"/>
      <c r="D69" s="255"/>
      <c r="E69" s="255"/>
      <c r="F69" s="255"/>
      <c r="G69" s="255"/>
      <c r="H69" s="255"/>
      <c r="I69" s="255"/>
      <c r="J69" s="550">
        <f>Model!D231</f>
        <v>-2</v>
      </c>
      <c r="K69" s="552">
        <f>Model!E231</f>
        <v>0.14502598643302916</v>
      </c>
      <c r="L69" s="552">
        <f>Model!F231</f>
        <v>0.16557478308677673</v>
      </c>
      <c r="M69" s="552">
        <f>Model!G231</f>
        <v>0.18473483920097353</v>
      </c>
      <c r="N69" s="552">
        <f>Model!H231</f>
        <v>0.20304171442985539</v>
      </c>
      <c r="O69" s="552">
        <f>Model!I231</f>
        <v>0.22023492455482482</v>
      </c>
      <c r="P69" s="555">
        <f>Model!L231</f>
        <v>-0.02</v>
      </c>
      <c r="Q69" s="552">
        <f>Model!M231</f>
        <v>0.13515672087669375</v>
      </c>
      <c r="R69" s="552">
        <f>Model!N231</f>
        <v>0.15577445626258854</v>
      </c>
      <c r="S69" s="552">
        <f>Model!O231</f>
        <v>0.1749712646007538</v>
      </c>
      <c r="T69" s="552">
        <f>Model!P231</f>
        <v>0.19310985207557682</v>
      </c>
      <c r="U69" s="552">
        <f>Model!Q231</f>
        <v>0.21051271557807927</v>
      </c>
    </row>
    <row r="70" ht="13.5" customHeight="1">
      <c r="C70" s="255"/>
      <c r="D70" s="255"/>
      <c r="E70" s="255"/>
      <c r="F70" s="255"/>
      <c r="G70" s="255"/>
      <c r="H70" s="255"/>
      <c r="I70" s="255"/>
      <c r="J70" s="550">
        <f>Model!D232</f>
        <v>0</v>
      </c>
      <c r="K70" s="552">
        <f>Model!E232</f>
        <v>0.1712779700756073</v>
      </c>
      <c r="L70" s="552">
        <f>Model!F232</f>
        <v>0.1916639983654022</v>
      </c>
      <c r="M70" s="553">
        <f>Model!G232</f>
        <v>0.21071793437004088</v>
      </c>
      <c r="N70" s="552">
        <f>Model!H232</f>
        <v>0.22893760800361637</v>
      </c>
      <c r="O70" s="552">
        <f>Model!I232</f>
        <v>0.24608371853828434</v>
      </c>
      <c r="P70" s="555">
        <f>Model!L232</f>
        <v>0</v>
      </c>
      <c r="Q70" s="552">
        <f>Model!M232</f>
        <v>0.1712779700756073</v>
      </c>
      <c r="R70" s="552">
        <f>Model!N232</f>
        <v>0.1916639983654022</v>
      </c>
      <c r="S70" s="553">
        <f>Model!O232</f>
        <v>0.21071793437004088</v>
      </c>
      <c r="T70" s="552">
        <f>Model!P232</f>
        <v>0.22893760800361637</v>
      </c>
      <c r="U70" s="552">
        <f>Model!Q232</f>
        <v>0.24608371853828434</v>
      </c>
    </row>
    <row r="71" ht="13.5" customHeight="1">
      <c r="C71" s="255"/>
      <c r="D71" s="255"/>
      <c r="E71" s="255"/>
      <c r="F71" s="255"/>
      <c r="G71" s="255"/>
      <c r="H71" s="255"/>
      <c r="I71" s="255"/>
      <c r="J71" s="550">
        <f>Model!D233</f>
        <v>2</v>
      </c>
      <c r="K71" s="552">
        <f>Model!E233</f>
        <v>0.19560827612876894</v>
      </c>
      <c r="L71" s="552">
        <f>Model!F233</f>
        <v>0.215884667634964</v>
      </c>
      <c r="M71" s="552">
        <f>Model!G233</f>
        <v>0.23487429022789</v>
      </c>
      <c r="N71" s="552">
        <f>Model!H233</f>
        <v>0.25304368138313293</v>
      </c>
      <c r="O71" s="552">
        <f>Model!I233</f>
        <v>0.27017188668251046</v>
      </c>
      <c r="P71" s="555">
        <f>Model!L233</f>
        <v>0.02</v>
      </c>
      <c r="Q71" s="552">
        <f>Model!M233</f>
        <v>0.20676621794700625</v>
      </c>
      <c r="R71" s="552">
        <f>Model!N233</f>
        <v>0.22685000300407412</v>
      </c>
      <c r="S71" s="552">
        <f>Model!O233</f>
        <v>0.24582349658012387</v>
      </c>
      <c r="T71" s="552">
        <f>Model!P233</f>
        <v>0.2639909207820892</v>
      </c>
      <c r="U71" s="552">
        <f>Model!Q233</f>
        <v>0.2811383545398711</v>
      </c>
    </row>
    <row r="72" ht="13.5" customHeight="1">
      <c r="C72" s="255"/>
      <c r="D72" s="255"/>
      <c r="E72" s="255"/>
      <c r="F72" s="255"/>
      <c r="G72" s="255"/>
      <c r="H72" s="255"/>
      <c r="I72" s="255"/>
      <c r="J72" s="550">
        <f>Model!D234</f>
        <v>4</v>
      </c>
      <c r="K72" s="552">
        <f>Model!E234</f>
        <v>0.2183108150959015</v>
      </c>
      <c r="L72" s="552">
        <f>Model!F234</f>
        <v>0.23851690888404847</v>
      </c>
      <c r="M72" s="552">
        <f>Model!G234</f>
        <v>0.2574731290340424</v>
      </c>
      <c r="N72" s="552">
        <f>Model!H234</f>
        <v>0.2756196081638337</v>
      </c>
      <c r="O72" s="552">
        <f>Model!I234</f>
        <v>0.2927514493465425</v>
      </c>
      <c r="P72" s="555">
        <f>Model!L234</f>
        <v>0.04</v>
      </c>
      <c r="Q72" s="552">
        <f>Model!M234</f>
        <v>0.2414117634296417</v>
      </c>
      <c r="R72" s="552">
        <f>Model!N234</f>
        <v>0.26144781708717346</v>
      </c>
      <c r="S72" s="552">
        <f>Model!O234</f>
        <v>0.2804097950458526</v>
      </c>
      <c r="T72" s="552">
        <f>Model!P234</f>
        <v>0.29857671856880186</v>
      </c>
      <c r="U72" s="552">
        <f>Model!Q234</f>
        <v>0.3157592594623566</v>
      </c>
    </row>
    <row r="73" ht="13.5" customHeight="1"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</row>
    <row r="74" ht="13.5" customHeight="1">
      <c r="C74" s="255"/>
      <c r="D74" s="255"/>
      <c r="E74" s="255"/>
      <c r="F74" s="255"/>
      <c r="G74" s="255"/>
      <c r="H74" s="255"/>
      <c r="I74" s="255"/>
      <c r="J74" t="s" s="292">
        <v>2003</v>
      </c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</row>
    <row r="75" ht="13.5" customHeight="1">
      <c r="C75" s="255"/>
      <c r="D75" s="255"/>
      <c r="E75" s="255"/>
      <c r="F75" s="255"/>
      <c r="G75" s="255"/>
      <c r="H75" s="255"/>
      <c r="I75" s="255"/>
      <c r="J75" s="255"/>
      <c r="K75" t="s" s="549">
        <v>1986</v>
      </c>
      <c r="L75" s="255"/>
      <c r="M75" s="255"/>
      <c r="N75" s="255"/>
      <c r="O75" s="255"/>
      <c r="P75" s="255"/>
      <c r="Q75" s="255"/>
      <c r="R75" s="255"/>
      <c r="S75" s="255"/>
      <c r="T75" s="255"/>
      <c r="U75" s="255"/>
    </row>
    <row r="76" ht="38" customHeight="1">
      <c r="C76" s="255"/>
      <c r="D76" s="255"/>
      <c r="E76" s="255"/>
      <c r="F76" s="255"/>
      <c r="G76" s="255"/>
      <c r="H76" s="255"/>
      <c r="I76" s="255"/>
      <c r="J76" t="s" s="554">
        <v>1936</v>
      </c>
      <c r="K76" s="551">
        <f>Model!E237</f>
        <v>-2</v>
      </c>
      <c r="L76" s="551">
        <f>Model!F237</f>
        <v>-1</v>
      </c>
      <c r="M76" s="551">
        <f>Model!G237</f>
        <v>0</v>
      </c>
      <c r="N76" s="551">
        <f>Model!H237</f>
        <v>1</v>
      </c>
      <c r="O76" s="551">
        <f>Model!I237</f>
        <v>2</v>
      </c>
      <c r="P76" s="255"/>
      <c r="Q76" s="255"/>
      <c r="R76" s="255"/>
      <c r="S76" s="255"/>
      <c r="T76" s="255"/>
      <c r="U76" s="255"/>
    </row>
    <row r="77" ht="13.5" customHeight="1">
      <c r="C77" s="255"/>
      <c r="D77" s="255"/>
      <c r="E77" s="255"/>
      <c r="F77" s="255"/>
      <c r="G77" s="255"/>
      <c r="H77" s="255"/>
      <c r="I77" s="255"/>
      <c r="J77" s="550">
        <f>Model!D238</f>
        <v>-4</v>
      </c>
      <c r="K77" s="557">
        <f>Model!E238</f>
        <v>2.1782200026329206</v>
      </c>
      <c r="L77" s="557">
        <f>Model!F238</f>
        <v>2.046669049238478</v>
      </c>
      <c r="M77" s="557">
        <f>Model!G238</f>
        <v>1.9301028312731698</v>
      </c>
      <c r="N77" s="557">
        <f>Model!H238</f>
        <v>1.8260989853963137</v>
      </c>
      <c r="O77" s="557">
        <f>Model!I238</f>
        <v>1.7327305698817737</v>
      </c>
      <c r="P77" s="255"/>
      <c r="Q77" s="255"/>
      <c r="R77" s="255"/>
      <c r="S77" s="255"/>
      <c r="T77" s="255"/>
      <c r="U77" s="255"/>
    </row>
    <row r="78" ht="13.5" customHeight="1">
      <c r="C78" s="255"/>
      <c r="D78" s="255"/>
      <c r="E78" s="255"/>
      <c r="F78" s="255"/>
      <c r="G78" s="255"/>
      <c r="H78" s="255"/>
      <c r="I78" s="255"/>
      <c r="J78" s="550">
        <f>Model!D239</f>
        <v>-2</v>
      </c>
      <c r="K78" s="557">
        <f>Model!E239</f>
        <v>2.42845064749897</v>
      </c>
      <c r="L78" s="557">
        <f>Model!F239</f>
        <v>2.2817873180080603</v>
      </c>
      <c r="M78" s="557">
        <f>Model!G239</f>
        <v>2.1518301478635427</v>
      </c>
      <c r="N78" s="557">
        <f>Model!H239</f>
        <v>2.0358784962595986</v>
      </c>
      <c r="O78" s="557">
        <f>Model!I239</f>
        <v>1.9317840572965166</v>
      </c>
      <c r="P78" s="255"/>
      <c r="Q78" s="255"/>
      <c r="R78" s="255"/>
      <c r="S78" s="255"/>
      <c r="T78" s="255"/>
      <c r="U78" s="255"/>
    </row>
    <row r="79" ht="13.5" customHeight="1">
      <c r="C79" s="255"/>
      <c r="D79" s="255"/>
      <c r="E79" s="255"/>
      <c r="F79" s="255"/>
      <c r="G79" s="255"/>
      <c r="H79" s="255"/>
      <c r="I79" s="255"/>
      <c r="J79" s="550">
        <f>Model!D240</f>
        <v>0</v>
      </c>
      <c r="K79" s="557">
        <f>Model!E240</f>
        <v>2.6786812923650203</v>
      </c>
      <c r="L79" s="557">
        <f>Model!F240</f>
        <v>2.5169055867776438</v>
      </c>
      <c r="M79" s="558">
        <f>Model!G240</f>
        <v>2.3735574644539166</v>
      </c>
      <c r="N79" s="557">
        <f>Model!H240</f>
        <v>2.2456580071228847</v>
      </c>
      <c r="O79" s="557">
        <f>Model!I240</f>
        <v>2.1308375447112597</v>
      </c>
      <c r="P79" s="255"/>
      <c r="Q79" s="255"/>
      <c r="R79" s="255"/>
      <c r="S79" s="255"/>
      <c r="T79" s="255"/>
      <c r="U79" s="255"/>
    </row>
    <row r="80" ht="13.5" customHeight="1">
      <c r="C80" s="255"/>
      <c r="D80" s="255"/>
      <c r="E80" s="255"/>
      <c r="F80" s="255"/>
      <c r="G80" s="255"/>
      <c r="H80" s="255"/>
      <c r="I80" s="255"/>
      <c r="J80" s="550">
        <f>Model!D241</f>
        <v>2</v>
      </c>
      <c r="K80" s="557">
        <f>Model!E241</f>
        <v>2.9289119372310695</v>
      </c>
      <c r="L80" s="557">
        <f>Model!F241</f>
        <v>2.7520238555472263</v>
      </c>
      <c r="M80" s="557">
        <f>Model!G241</f>
        <v>2.5952847810442896</v>
      </c>
      <c r="N80" s="557">
        <f>Model!H241</f>
        <v>2.45543751798617</v>
      </c>
      <c r="O80" s="557">
        <f>Model!I241</f>
        <v>2.3298910321260027</v>
      </c>
      <c r="P80" s="255"/>
      <c r="Q80" s="255"/>
      <c r="R80" s="255"/>
      <c r="S80" s="255"/>
      <c r="T80" s="255"/>
      <c r="U80" s="255"/>
    </row>
    <row r="81" ht="13.5" customHeight="1">
      <c r="C81" s="255"/>
      <c r="D81" s="255"/>
      <c r="E81" s="255"/>
      <c r="F81" s="255"/>
      <c r="G81" s="255"/>
      <c r="H81" s="255"/>
      <c r="I81" s="255"/>
      <c r="J81" s="550">
        <f>Model!D242</f>
        <v>4</v>
      </c>
      <c r="K81" s="557">
        <f>Model!E242</f>
        <v>3.1791425820971195</v>
      </c>
      <c r="L81" s="557">
        <f>Model!F242</f>
        <v>2.9871421243168097</v>
      </c>
      <c r="M81" s="557">
        <f>Model!G242</f>
        <v>2.817012097634663</v>
      </c>
      <c r="N81" s="557">
        <f>Model!H242</f>
        <v>2.6652170288494554</v>
      </c>
      <c r="O81" s="557">
        <f>Model!I242</f>
        <v>2.5289445195407465</v>
      </c>
      <c r="P81" s="255"/>
      <c r="Q81" s="255"/>
      <c r="R81" s="255"/>
      <c r="S81" s="255"/>
      <c r="T81" s="255"/>
      <c r="U81" s="255"/>
    </row>
    <row r="82"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</row>
    <row r="83"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</row>
    <row r="84">
      <c r="C84" s="255"/>
      <c r="D84" s="255"/>
      <c r="E84" s="255"/>
      <c r="F84" s="255"/>
      <c r="G84" s="255"/>
      <c r="H84" s="255"/>
      <c r="I84" t="s" s="548">
        <v>2133</v>
      </c>
      <c r="J84" s="548"/>
      <c r="K84" s="548"/>
      <c r="L84" s="548"/>
      <c r="M84" s="548"/>
      <c r="N84" s="548"/>
      <c r="O84" s="548"/>
      <c r="P84" s="548"/>
      <c r="Q84" s="548"/>
      <c r="R84" s="548"/>
      <c r="S84" s="548"/>
      <c r="T84" s="548"/>
      <c r="U84" s="548"/>
    </row>
    <row r="85">
      <c r="C85" s="255"/>
      <c r="D85" s="255"/>
      <c r="E85" s="255"/>
      <c r="F85" s="255"/>
      <c r="G85" s="255"/>
      <c r="H85" s="255"/>
      <c r="I85" s="255"/>
      <c r="J85" t="s" s="570">
        <v>2007</v>
      </c>
      <c r="K85" s="571"/>
      <c r="L85" s="571"/>
      <c r="M85" s="571"/>
      <c r="N85" s="571"/>
      <c r="O85" s="571"/>
      <c r="P85" t="s" s="570">
        <v>2008</v>
      </c>
      <c r="Q85" s="571"/>
      <c r="R85" s="571"/>
      <c r="S85" s="571"/>
      <c r="T85" s="571"/>
      <c r="U85" s="571"/>
    </row>
    <row r="86">
      <c r="C86" s="255"/>
      <c r="D86" s="255"/>
      <c r="E86" s="255"/>
      <c r="F86" s="255"/>
      <c r="G86" s="255"/>
      <c r="H86" s="255"/>
      <c r="I86" s="571"/>
      <c r="J86" s="572">
        <f>Model!J54</f>
        <v>46387</v>
      </c>
      <c r="K86" s="572">
        <f>Model!K54</f>
        <v>46752</v>
      </c>
      <c r="L86" s="572">
        <f>Model!L54</f>
        <v>47118</v>
      </c>
      <c r="M86" s="572">
        <f>Model!M54</f>
        <v>47483</v>
      </c>
      <c r="N86" s="572">
        <f>Model!N54</f>
        <v>47848</v>
      </c>
      <c r="O86" s="572">
        <f>Model!O54</f>
        <v>48213</v>
      </c>
      <c r="P86" s="572">
        <f>Model!J54</f>
        <v>46387</v>
      </c>
      <c r="Q86" s="572">
        <f>Model!K54</f>
        <v>46752</v>
      </c>
      <c r="R86" s="572">
        <f>Model!L54</f>
        <v>47118</v>
      </c>
      <c r="S86" s="572">
        <f>Model!M54</f>
        <v>47483</v>
      </c>
      <c r="T86" s="572">
        <f>Model!N54</f>
        <v>47848</v>
      </c>
      <c r="U86" s="572">
        <f>Model!O54</f>
        <v>48213</v>
      </c>
    </row>
    <row r="87">
      <c r="C87" s="255"/>
      <c r="D87" s="255"/>
      <c r="E87" s="255"/>
      <c r="F87" s="255"/>
      <c r="G87" s="255"/>
      <c r="H87" s="255"/>
      <c r="I87" t="s" s="255">
        <v>303</v>
      </c>
      <c r="J87" s="566">
        <f>'Driver Assumptions'!E117</f>
        <v>941.7615342465755</v>
      </c>
      <c r="K87" s="566">
        <f>'Driver Assumptions'!E118</f>
        <v>1102.0613698630139</v>
      </c>
      <c r="L87" s="566">
        <f>'Driver Assumptions'!E119</f>
        <v>1300.4324164383563</v>
      </c>
      <c r="M87" s="566">
        <f>'Driver Assumptions'!E120</f>
        <v>1533.8690520547948</v>
      </c>
      <c r="N87" s="566">
        <f>'Driver Assumptions'!E121</f>
        <v>1810.386268493151</v>
      </c>
      <c r="O87" s="566">
        <f>'Driver Assumptions'!E122</f>
        <v>2100.048071452055</v>
      </c>
      <c r="P87" s="566">
        <f>'Driver Assumptions'!F117</f>
        <v>936.4459959181302</v>
      </c>
      <c r="Q87" s="566">
        <f>'Driver Assumptions'!F118</f>
        <v>1063.9840547636156</v>
      </c>
      <c r="R87" s="566">
        <f>'Driver Assumptions'!F119</f>
        <v>1198.2521550674492</v>
      </c>
      <c r="S87" s="566">
        <f>'Driver Assumptions'!F120</f>
        <v>1337.4815241701785</v>
      </c>
      <c r="T87" s="566">
        <f>'Driver Assumptions'!F121</f>
        <v>1479.5136556293476</v>
      </c>
      <c r="U87" s="566">
        <f>'Driver Assumptions'!F122</f>
        <v>1627.4650211922824</v>
      </c>
    </row>
    <row r="88">
      <c r="C88" s="255"/>
      <c r="D88" s="255"/>
      <c r="E88" s="255"/>
      <c r="F88" s="255"/>
      <c r="G88" s="255"/>
      <c r="H88" s="255"/>
      <c r="I88" t="s" s="279">
        <v>1398</v>
      </c>
      <c r="J88" s="552">
        <f>'Driver Assumptions'!E123</f>
        <v>0.28767123287671237</v>
      </c>
      <c r="K88" s="552">
        <f>'Driver Assumptions'!E124</f>
        <v>0.17021276595744683</v>
      </c>
      <c r="L88" s="552">
        <f>'Driver Assumptions'!E125</f>
        <v>0.17999999999999994</v>
      </c>
      <c r="M88" s="552">
        <f>'Driver Assumptions'!E126</f>
        <v>0.17950693374422189</v>
      </c>
      <c r="N88" s="552">
        <f>'Driver Assumptions'!E127</f>
        <v>0.18027433050293928</v>
      </c>
      <c r="O88" s="552">
        <f>'Driver Assumptions'!E128</f>
        <v>0.16</v>
      </c>
      <c r="P88" s="552">
        <f>'Driver Assumptions'!F123</f>
        <v>0.2804032934420566</v>
      </c>
      <c r="Q88" s="552">
        <f>'Driver Assumptions'!F124</f>
        <v>0.13619371474853903</v>
      </c>
      <c r="R88" s="552">
        <f>'Driver Assumptions'!F125</f>
        <v>0.12619371474853902</v>
      </c>
      <c r="S88" s="552">
        <f>'Driver Assumptions'!F126</f>
        <v>0.11619371474853901</v>
      </c>
      <c r="T88" s="552">
        <f>'Driver Assumptions'!F127</f>
        <v>0.106193714748539</v>
      </c>
      <c r="U88" s="552">
        <f>'Driver Assumptions'!F128</f>
        <v>0.10000000000000009</v>
      </c>
    </row>
    <row r="89">
      <c r="C89" s="255"/>
      <c r="D89" s="255"/>
      <c r="E89" s="255"/>
      <c r="F89" s="255"/>
      <c r="G89" s="255"/>
      <c r="H89" s="255"/>
      <c r="I89" t="s" s="255">
        <v>1784</v>
      </c>
      <c r="J89" s="566">
        <f>'Driver Assumptions'!E129</f>
        <v>338.6334027397261</v>
      </c>
      <c r="K89" s="566">
        <f>'Driver Assumptions'!E130</f>
        <v>418.78332054794527</v>
      </c>
      <c r="L89" s="566">
        <f>'Driver Assumptions'!E131</f>
        <v>518.9707178082192</v>
      </c>
      <c r="M89" s="566">
        <f>'Driver Assumptions'!E132</f>
        <v>635.1880986301371</v>
      </c>
      <c r="N89" s="566">
        <f>'Driver Assumptions'!E133</f>
        <v>764.4298410958905</v>
      </c>
      <c r="O89" s="566">
        <f>'Driver Assumptions'!E134</f>
        <v>896.7205265100274</v>
      </c>
      <c r="P89" s="566">
        <f>'Driver Assumptions'!F129</f>
        <v>334.71799748251317</v>
      </c>
      <c r="Q89" s="566">
        <f>'Driver Assumptions'!F130</f>
        <v>395.47458677782515</v>
      </c>
      <c r="R89" s="566">
        <f>'Driver Assumptions'!F131</f>
        <v>453.016663807723</v>
      </c>
      <c r="S89" s="566">
        <f>'Driver Assumptions'!F132</f>
        <v>514.1772394971034</v>
      </c>
      <c r="T89" s="566">
        <f>'Driver Assumptions'!F133</f>
        <v>573.4936124361247</v>
      </c>
      <c r="U89" s="566">
        <f>'Driver Assumptions'!F134</f>
        <v>636.0283537011794</v>
      </c>
    </row>
    <row r="90">
      <c r="C90" s="255"/>
      <c r="D90" s="255"/>
      <c r="E90" s="255"/>
      <c r="F90" s="255"/>
      <c r="G90" s="255"/>
      <c r="H90" s="255"/>
      <c r="I90" t="s" s="279">
        <v>1402</v>
      </c>
      <c r="J90" s="552">
        <f>'Driver Assumptions'!E135</f>
        <v>0.3595744680851064</v>
      </c>
      <c r="K90" s="552">
        <f>'Driver Assumptions'!E136</f>
        <v>0.38</v>
      </c>
      <c r="L90" s="552">
        <f>'Driver Assumptions'!E137</f>
        <v>0.39907550077041604</v>
      </c>
      <c r="M90" s="552">
        <f>'Driver Assumptions'!E138</f>
        <v>0.41410842586544744</v>
      </c>
      <c r="N90" s="552">
        <f>'Driver Assumptions'!E139</f>
        <v>0.4222468179302712</v>
      </c>
      <c r="O90" s="552">
        <f>'Driver Assumptions'!E140</f>
        <v>0.427</v>
      </c>
      <c r="P90" s="552">
        <f>'Driver Assumptions'!F135</f>
        <v>0.3574343837674717</v>
      </c>
      <c r="Q90" s="552">
        <f>'Driver Assumptions'!F136</f>
        <v>0.3716922119342168</v>
      </c>
      <c r="R90" s="552">
        <f>'Driver Assumptions'!F137</f>
        <v>0.37806455168213143</v>
      </c>
      <c r="S90" s="552">
        <f>'Driver Assumptions'!F138</f>
        <v>0.38443689143004606</v>
      </c>
      <c r="T90" s="552">
        <f>'Driver Assumptions'!F139</f>
        <v>0.38762306130400337</v>
      </c>
      <c r="U90" s="552">
        <f>'Driver Assumptions'!F140</f>
        <v>0.3908092311779607</v>
      </c>
    </row>
    <row r="91">
      <c r="C91" s="255"/>
      <c r="D91" s="255"/>
      <c r="E91" s="255"/>
      <c r="F91" s="255"/>
      <c r="G91" s="255"/>
      <c r="H91" s="255"/>
      <c r="I91" t="s" s="255">
        <v>2134</v>
      </c>
      <c r="J91" s="566">
        <f>'Driver Assumptions'!E141</f>
        <v>92.92994746702246</v>
      </c>
      <c r="K91" s="566">
        <f>'Driver Assumptions'!E142</f>
        <v>260.0933813221918</v>
      </c>
      <c r="L91" s="566">
        <f>'Driver Assumptions'!E143</f>
        <v>352.94337721241646</v>
      </c>
      <c r="M91" s="566">
        <f>'Driver Assumptions'!E144</f>
        <v>460.59153708592345</v>
      </c>
      <c r="N91" s="566">
        <f>'Driver Assumptions'!E145</f>
        <v>579.9847251517535</v>
      </c>
      <c r="O91" s="566">
        <f>'Driver Assumptions'!E146</f>
        <v>702.0236251354706</v>
      </c>
      <c r="P91" s="566">
        <f>'Driver Assumptions'!F141</f>
        <v>89.17061440623087</v>
      </c>
      <c r="Q91" s="566">
        <f>'Driver Assumptions'!F142</f>
        <v>227.109547846625</v>
      </c>
      <c r="R91" s="566">
        <f>'Driver Assumptions'!F143</f>
        <v>270.9251581580244</v>
      </c>
      <c r="S91" s="566">
        <f>'Driver Assumptions'!F144</f>
        <v>318.2522605391023</v>
      </c>
      <c r="T91" s="566">
        <f>'Driver Assumptions'!F145</f>
        <v>363.96906609455505</v>
      </c>
      <c r="U91" s="566">
        <f>'Driver Assumptions'!F146</f>
        <v>412.6799229707839</v>
      </c>
    </row>
    <row r="92"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</row>
    <row r="93"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</row>
    <row r="94">
      <c r="C94" s="255"/>
      <c r="D94" s="255"/>
      <c r="E94" s="255"/>
      <c r="F94" s="255"/>
      <c r="G94" s="255"/>
      <c r="H94" s="255"/>
      <c r="I94" t="s" s="548">
        <v>2135</v>
      </c>
      <c r="J94" s="548"/>
      <c r="K94" s="548"/>
      <c r="L94" s="548"/>
      <c r="M94" s="548"/>
      <c r="N94" s="548"/>
      <c r="O94" s="548"/>
      <c r="P94" s="548"/>
      <c r="Q94" s="548"/>
      <c r="R94" s="548"/>
      <c r="S94" s="548"/>
      <c r="T94" s="548"/>
      <c r="U94" s="548"/>
    </row>
    <row r="95">
      <c r="C95" s="255"/>
      <c r="D95" s="255"/>
      <c r="E95" s="255"/>
      <c r="F95" s="255"/>
      <c r="G95" s="255"/>
      <c r="H95" s="255"/>
      <c r="I95" s="255"/>
      <c r="J95" t="s" s="570">
        <v>2007</v>
      </c>
      <c r="K95" s="571"/>
      <c r="L95" s="571"/>
      <c r="M95" s="571"/>
      <c r="N95" s="571"/>
      <c r="O95" s="571"/>
      <c r="P95" t="s" s="570">
        <v>2008</v>
      </c>
      <c r="Q95" s="571"/>
      <c r="R95" s="571"/>
      <c r="S95" s="571"/>
      <c r="T95" s="571"/>
      <c r="U95" s="571"/>
    </row>
    <row r="96">
      <c r="C96" s="255"/>
      <c r="D96" s="255"/>
      <c r="E96" s="255"/>
      <c r="F96" s="255"/>
      <c r="G96" s="255"/>
      <c r="H96" s="255"/>
      <c r="I96" s="571"/>
      <c r="J96" s="572">
        <f>Model!J54</f>
        <v>46387</v>
      </c>
      <c r="K96" s="572">
        <f>Model!K54</f>
        <v>46752</v>
      </c>
      <c r="L96" s="572">
        <f>Model!L54</f>
        <v>47118</v>
      </c>
      <c r="M96" s="572">
        <f>Model!M54</f>
        <v>47483</v>
      </c>
      <c r="N96" s="572">
        <f>Model!N54</f>
        <v>47848</v>
      </c>
      <c r="O96" s="572">
        <f>Model!O54</f>
        <v>48213</v>
      </c>
      <c r="P96" s="572">
        <f>Model!J54</f>
        <v>46387</v>
      </c>
      <c r="Q96" s="572">
        <f>Model!K54</f>
        <v>46752</v>
      </c>
      <c r="R96" s="572">
        <f>Model!L54</f>
        <v>47118</v>
      </c>
      <c r="S96" s="572">
        <f>Model!M54</f>
        <v>47483</v>
      </c>
      <c r="T96" s="572">
        <f>Model!N54</f>
        <v>47848</v>
      </c>
      <c r="U96" s="572">
        <f>Model!O54</f>
        <v>48213</v>
      </c>
    </row>
    <row r="97">
      <c r="C97" s="255"/>
      <c r="D97" s="255"/>
      <c r="E97" s="255"/>
      <c r="F97" s="255"/>
      <c r="G97" s="255"/>
      <c r="H97" s="255"/>
      <c r="I97" t="s" s="255">
        <v>1878</v>
      </c>
      <c r="J97" s="566">
        <f>'Driver Assumptions'!E147</f>
        <v>2735.179759401606</v>
      </c>
      <c r="K97" s="566">
        <f>'Driver Assumptions'!E148</f>
        <v>2690.736145462925</v>
      </c>
      <c r="L97" s="566">
        <f>'Driver Assumptions'!E149</f>
        <v>2547.822483327448</v>
      </c>
      <c r="M97" s="566">
        <f>'Driver Assumptions'!E150</f>
        <v>2272.922943338843</v>
      </c>
      <c r="N97" s="566">
        <f>'Driver Assumptions'!E151</f>
        <v>1851.5450220403511</v>
      </c>
      <c r="O97" s="566">
        <f>'Driver Assumptions'!E152</f>
        <v>1269.0786582254104</v>
      </c>
      <c r="P97" s="566">
        <f>'Driver Assumptions'!F147</f>
        <v>2735.179759401606</v>
      </c>
      <c r="Q97" s="566">
        <f>'Driver Assumptions'!F148</f>
        <v>2729.1722036767824</v>
      </c>
      <c r="R97" s="566">
        <f>'Driver Assumptions'!F149</f>
        <v>2674.811809030593</v>
      </c>
      <c r="S97" s="566">
        <f>'Driver Assumptions'!F150</f>
        <v>2558.292298265301</v>
      </c>
      <c r="T97" s="566">
        <f>'Driver Assumptions'!F151</f>
        <v>2384.7734913882623</v>
      </c>
      <c r="U97" s="566">
        <f>'Driver Assumptions'!F152</f>
        <v>2146.526123553552</v>
      </c>
    </row>
    <row r="98">
      <c r="C98" s="255"/>
      <c r="D98" s="255"/>
      <c r="E98" s="255"/>
      <c r="F98" s="255"/>
      <c r="G98" s="255"/>
      <c r="H98" s="255"/>
      <c r="I98" t="s" s="255">
        <v>2136</v>
      </c>
      <c r="J98" s="566">
        <f>'Driver Assumptions'!E153</f>
        <v>86.5512913337849</v>
      </c>
      <c r="K98" s="566">
        <f>'Driver Assumptions'!E154</f>
        <v>75</v>
      </c>
      <c r="L98" s="566">
        <f>'Driver Assumptions'!E155</f>
        <v>75</v>
      </c>
      <c r="M98" s="566">
        <f>'Driver Assumptions'!E156</f>
        <v>75</v>
      </c>
      <c r="N98" s="566">
        <f>'Driver Assumptions'!E157</f>
        <v>74.99999999962478</v>
      </c>
      <c r="O98" s="566">
        <f>'Driver Assumptions'!E158</f>
        <v>75.00000719824516</v>
      </c>
      <c r="P98" s="566">
        <f>'Driver Assumptions'!F153</f>
        <v>82.75728364131959</v>
      </c>
      <c r="Q98" s="566">
        <f>'Driver Assumptions'!F154</f>
        <v>75</v>
      </c>
      <c r="R98" s="566">
        <f>'Driver Assumptions'!F155</f>
        <v>75</v>
      </c>
      <c r="S98" s="566">
        <f>'Driver Assumptions'!F156</f>
        <v>75</v>
      </c>
      <c r="T98" s="566">
        <f>'Driver Assumptions'!F157</f>
        <v>74.99999999999633</v>
      </c>
      <c r="U98" s="566">
        <f>'Driver Assumptions'!F158</f>
        <v>74.9999997155399</v>
      </c>
    </row>
    <row r="99">
      <c r="C99" s="255"/>
      <c r="D99" s="255"/>
      <c r="E99" s="255"/>
      <c r="F99" s="255"/>
      <c r="G99" s="255"/>
      <c r="H99" s="255"/>
      <c r="I99" t="s" s="563">
        <v>2137</v>
      </c>
      <c r="J99" s="567">
        <f>'Driver Assumptions'!E159</f>
        <v>2648.6284680678214</v>
      </c>
      <c r="K99" s="567">
        <f>'Driver Assumptions'!E160</f>
        <v>2615.736145462925</v>
      </c>
      <c r="L99" s="567">
        <f>'Driver Assumptions'!E161</f>
        <v>2472.822483327448</v>
      </c>
      <c r="M99" s="567">
        <f>'Driver Assumptions'!E162</f>
        <v>2197.922943338843</v>
      </c>
      <c r="N99" s="567">
        <f>'Driver Assumptions'!E163</f>
        <v>1776.5450220407263</v>
      </c>
      <c r="O99" s="567">
        <f>'Driver Assumptions'!E164</f>
        <v>1194.0786510271653</v>
      </c>
      <c r="P99" s="567">
        <f>'Driver Assumptions'!F159</f>
        <v>2652.4224757602865</v>
      </c>
      <c r="Q99" s="567">
        <f>'Driver Assumptions'!F160</f>
        <v>2654.1722036767824</v>
      </c>
      <c r="R99" s="567">
        <f>'Driver Assumptions'!F161</f>
        <v>2599.811809030593</v>
      </c>
      <c r="S99" s="567">
        <f>'Driver Assumptions'!F162</f>
        <v>2483.292298265301</v>
      </c>
      <c r="T99" s="567">
        <f>'Driver Assumptions'!F163</f>
        <v>2309.773491388266</v>
      </c>
      <c r="U99" s="567">
        <f>'Driver Assumptions'!F164</f>
        <v>2071.526123838012</v>
      </c>
    </row>
    <row r="100">
      <c r="C100" s="255"/>
      <c r="D100" s="255"/>
      <c r="E100" s="255"/>
      <c r="F100" s="255"/>
      <c r="G100" s="255"/>
      <c r="H100" s="255"/>
      <c r="I100" t="s" s="255">
        <v>2138</v>
      </c>
      <c r="J100" s="573">
        <f>'Driver Assumptions'!E165</f>
        <v>8.077111523176784</v>
      </c>
      <c r="K100" s="573">
        <f>'Driver Assumptions'!E166</f>
        <v>6.425127299583725</v>
      </c>
      <c r="L100" s="573">
        <f>'Driver Assumptions'!E167</f>
        <v>4.909376186170435</v>
      </c>
      <c r="M100" s="573">
        <f>'Driver Assumptions'!E168</f>
        <v>3.578346238288606</v>
      </c>
      <c r="N100" s="573">
        <f>'Driver Assumptions'!E169</f>
        <v>2.4221255143388523</v>
      </c>
      <c r="O100" s="573">
        <f>'Driver Assumptions'!E170</f>
        <v>1.4152443495015938</v>
      </c>
      <c r="P100" s="573">
        <f>'Driver Assumptions'!F165</f>
        <v>8.171594536217018</v>
      </c>
      <c r="Q100" s="573">
        <f>'Driver Assumptions'!F166</f>
        <v>6.901005260320336</v>
      </c>
      <c r="R100" s="573">
        <f>'Driver Assumptions'!F167</f>
        <v>5.904444632451494</v>
      </c>
      <c r="S100" s="573">
        <f>'Driver Assumptions'!F168</f>
        <v>4.975506696421386</v>
      </c>
      <c r="T100" s="573">
        <f>'Driver Assumptions'!F169</f>
        <v>4.158326160352616</v>
      </c>
      <c r="U100" s="573">
        <f>'Driver Assumptions'!F170</f>
        <v>3.3748906177884628</v>
      </c>
    </row>
    <row r="101">
      <c r="C101" s="255"/>
      <c r="D101" s="255"/>
      <c r="E101" s="255"/>
      <c r="F101" s="255"/>
      <c r="G101" s="255"/>
      <c r="H101" s="255"/>
      <c r="I101" t="s" s="255">
        <v>2139</v>
      </c>
      <c r="J101" s="573">
        <f>'Driver Assumptions'!E171</f>
        <v>7.821521582451686</v>
      </c>
      <c r="K101" s="573">
        <f>'Driver Assumptions'!E172</f>
        <v>6.246037072442232</v>
      </c>
      <c r="L101" s="573">
        <f>'Driver Assumptions'!E173</f>
        <v>4.76485936195201</v>
      </c>
      <c r="M101" s="573">
        <f>'Driver Assumptions'!E174</f>
        <v>3.460270978122764</v>
      </c>
      <c r="N101" s="573">
        <f>'Driver Assumptions'!E175</f>
        <v>2.3240131749616975</v>
      </c>
      <c r="O101" s="573">
        <f>'Driver Assumptions'!E176</f>
        <v>1.3316062426656325</v>
      </c>
      <c r="P101" s="573">
        <f>'Driver Assumptions'!F171</f>
        <v>7.9243497383162325</v>
      </c>
      <c r="Q101" s="573">
        <f>'Driver Assumptions'!F172</f>
        <v>6.711359698993447</v>
      </c>
      <c r="R101" s="573">
        <f>'Driver Assumptions'!F173</f>
        <v>5.738887808626062</v>
      </c>
      <c r="S101" s="573">
        <f>'Driver Assumptions'!F174</f>
        <v>4.829642596965419</v>
      </c>
      <c r="T101" s="573">
        <f>'Driver Assumptions'!F175</f>
        <v>4.027548766544504</v>
      </c>
      <c r="U101" s="573">
        <f>'Driver Assumptions'!F176</f>
        <v>3.256971346927188</v>
      </c>
    </row>
    <row r="102">
      <c r="C102" s="255"/>
      <c r="D102" s="255"/>
      <c r="E102" s="255"/>
      <c r="F102" s="255"/>
      <c r="G102" s="255"/>
      <c r="H102" s="255"/>
      <c r="I102" t="s" s="255">
        <v>2140</v>
      </c>
      <c r="J102" s="573">
        <f>'Driver Assumptions'!E177</f>
        <v>2.116310375986746</v>
      </c>
      <c r="K102" s="573">
        <f>'Driver Assumptions'!E178</f>
        <v>2.581441274805994</v>
      </c>
      <c r="L102" s="573">
        <f>'Driver Assumptions'!E179</f>
        <v>2.842225637368559</v>
      </c>
      <c r="M102" s="573">
        <f>'Driver Assumptions'!E180</f>
        <v>3.3725697924207734</v>
      </c>
      <c r="N102" s="573">
        <f>'Driver Assumptions'!E181</f>
        <v>4.740523650094693</v>
      </c>
      <c r="O102" s="573">
        <f>'Driver Assumptions'!E182</f>
        <v>7.33785261704265</v>
      </c>
      <c r="P102" s="573">
        <f>'Driver Assumptions'!F177</f>
        <v>2.0918408088826363</v>
      </c>
      <c r="Q102" s="573">
        <f>'Driver Assumptions'!F178</f>
        <v>2.4211846473394085</v>
      </c>
      <c r="R102" s="573">
        <f>'Driver Assumptions'!F179</f>
        <v>2.4073823216300223</v>
      </c>
      <c r="S102" s="573">
        <f>'Driver Assumptions'!F180</f>
        <v>2.515787313432431</v>
      </c>
      <c r="T102" s="573">
        <f>'Driver Assumptions'!F181</f>
        <v>2.9699651345518063</v>
      </c>
      <c r="U102" s="573">
        <f>'Driver Assumptions'!F182</f>
        <v>3.5917560203203203</v>
      </c>
    </row>
    <row r="103"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</row>
    <row r="104"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</row>
    <row r="105">
      <c r="C105" s="255"/>
      <c r="D105" s="255"/>
      <c r="E105" s="255"/>
      <c r="F105" s="255"/>
      <c r="G105" s="255"/>
      <c r="H105" s="255"/>
      <c r="I105" t="s" s="548">
        <v>2141</v>
      </c>
      <c r="J105" s="548"/>
      <c r="K105" s="548"/>
      <c r="L105" s="548"/>
      <c r="M105" s="548"/>
      <c r="N105" s="548"/>
      <c r="O105" s="548"/>
      <c r="P105" s="548"/>
      <c r="Q105" s="548"/>
      <c r="R105" s="548"/>
      <c r="S105" s="548"/>
      <c r="T105" s="548"/>
      <c r="U105" s="548"/>
    </row>
    <row r="106">
      <c r="C106" s="255"/>
      <c r="D106" s="255"/>
      <c r="E106" s="255"/>
      <c r="F106" s="255"/>
      <c r="G106" s="255"/>
      <c r="H106" s="255"/>
      <c r="I106" s="255"/>
      <c r="J106" t="s" s="570">
        <v>2007</v>
      </c>
      <c r="K106" s="571"/>
      <c r="L106" s="571"/>
      <c r="M106" s="571"/>
      <c r="N106" s="255"/>
      <c r="O106" s="255"/>
      <c r="P106" t="s" s="570">
        <v>2008</v>
      </c>
      <c r="Q106" s="571"/>
      <c r="R106" s="571"/>
      <c r="S106" s="571"/>
      <c r="T106" s="255"/>
      <c r="U106" s="255"/>
    </row>
    <row r="107">
      <c r="C107" s="255"/>
      <c r="D107" s="255"/>
      <c r="E107" s="255"/>
      <c r="F107" s="255"/>
      <c r="G107" s="255"/>
      <c r="H107" s="255"/>
      <c r="I107" s="571"/>
      <c r="J107" s="572">
        <f>Model!K54</f>
        <v>46752</v>
      </c>
      <c r="K107" s="572">
        <f>Model!L54</f>
        <v>47118</v>
      </c>
      <c r="L107" s="572">
        <f>Model!M54</f>
        <v>47483</v>
      </c>
      <c r="M107" s="572">
        <f>Model!N54</f>
        <v>47848</v>
      </c>
      <c r="N107" s="559"/>
      <c r="O107" s="559"/>
      <c r="P107" s="572">
        <f>Model!K54</f>
        <v>46752</v>
      </c>
      <c r="Q107" s="572">
        <f>Model!L54</f>
        <v>47118</v>
      </c>
      <c r="R107" s="572">
        <f>Model!M54</f>
        <v>47483</v>
      </c>
      <c r="S107" s="572">
        <f>Model!N54</f>
        <v>47848</v>
      </c>
      <c r="T107" s="255"/>
      <c r="U107" s="255"/>
    </row>
    <row r="108">
      <c r="C108" s="255"/>
      <c r="D108" s="255"/>
      <c r="E108" s="255"/>
      <c r="F108" s="255"/>
      <c r="G108" s="255"/>
      <c r="H108" s="255"/>
      <c r="I108" t="s" s="255">
        <v>2142</v>
      </c>
      <c r="J108" s="573">
        <f>'Driver Assumptions'!E183</f>
        <v>24.75171931344359</v>
      </c>
      <c r="K108" s="573">
        <f>'Driver Assumptions'!E184</f>
        <v>24.75171931344359</v>
      </c>
      <c r="L108" s="573">
        <f>'Driver Assumptions'!E185</f>
        <v>24.75171931344359</v>
      </c>
      <c r="M108" s="573">
        <f>'Driver Assumptions'!E186</f>
        <v>24.75171931344359</v>
      </c>
      <c r="N108" s="255"/>
      <c r="O108" s="255"/>
      <c r="P108" s="573">
        <f>'Driver Assumptions'!F183</f>
        <v>25.041255617597592</v>
      </c>
      <c r="Q108" s="573">
        <f>'Driver Assumptions'!F184</f>
        <v>25.041255617597592</v>
      </c>
      <c r="R108" s="573">
        <f>'Driver Assumptions'!F185</f>
        <v>25.041255617597592</v>
      </c>
      <c r="S108" s="573">
        <f>'Driver Assumptions'!F186</f>
        <v>25.041255617597592</v>
      </c>
      <c r="T108" s="255"/>
      <c r="U108" s="255"/>
    </row>
    <row r="109">
      <c r="C109" s="255"/>
      <c r="D109" s="255"/>
      <c r="E109" s="255"/>
      <c r="F109" s="255"/>
      <c r="G109" s="255"/>
      <c r="H109" s="255"/>
      <c r="I109" t="s" s="255">
        <v>2143</v>
      </c>
      <c r="J109" s="566">
        <f>'Driver Assumptions'!E187</f>
        <v>518.9707178082192</v>
      </c>
      <c r="K109" s="566">
        <f>'Driver Assumptions'!E188</f>
        <v>635.1880986301371</v>
      </c>
      <c r="L109" s="566">
        <f>'Driver Assumptions'!E189</f>
        <v>764.4298410958905</v>
      </c>
      <c r="M109" s="566">
        <f>'Driver Assumptions'!E190</f>
        <v>896.7205265100274</v>
      </c>
      <c r="N109" s="255"/>
      <c r="O109" s="255"/>
      <c r="P109" s="566">
        <f>'Driver Assumptions'!F187</f>
        <v>453.016663807723</v>
      </c>
      <c r="Q109" s="566">
        <f>'Driver Assumptions'!F188</f>
        <v>514.1772394971034</v>
      </c>
      <c r="R109" s="566">
        <f>'Driver Assumptions'!F189</f>
        <v>573.4936124361247</v>
      </c>
      <c r="S109" s="566">
        <f>'Driver Assumptions'!F190</f>
        <v>636.0283537011794</v>
      </c>
      <c r="T109" s="255"/>
      <c r="U109" s="255"/>
    </row>
    <row r="110">
      <c r="C110" s="255"/>
      <c r="D110" s="255"/>
      <c r="E110" s="255"/>
      <c r="F110" s="255"/>
      <c r="G110" s="255"/>
      <c r="H110" s="255"/>
      <c r="I110" t="s" s="563">
        <v>970</v>
      </c>
      <c r="J110" s="567">
        <f>'Driver Assumptions'!E191</f>
        <v>12845.417539085383</v>
      </c>
      <c r="K110" s="567">
        <f>'Driver Assumptions'!E192</f>
        <v>15721.997528533077</v>
      </c>
      <c r="L110" s="567">
        <f>'Driver Assumptions'!E193</f>
        <v>18920.95286162577</v>
      </c>
      <c r="M110" s="567">
        <f>'Driver Assumptions'!E194</f>
        <v>22195.37477477955</v>
      </c>
      <c r="N110" s="563"/>
      <c r="O110" s="563"/>
      <c r="P110" s="567">
        <f>'Driver Assumptions'!F191</f>
        <v>11344.106077440463</v>
      </c>
      <c r="Q110" s="567">
        <f>'Driver Assumptions'!F192</f>
        <v>12875.643686997664</v>
      </c>
      <c r="R110" s="567">
        <f>'Driver Assumptions'!F193</f>
        <v>14361.000144072445</v>
      </c>
      <c r="S110" s="567">
        <f>'Driver Assumptions'!F194</f>
        <v>15926.948585071008</v>
      </c>
      <c r="T110" s="255"/>
      <c r="U110" s="255"/>
    </row>
    <row r="111">
      <c r="C111" s="255"/>
      <c r="D111" s="255"/>
      <c r="E111" s="255"/>
      <c r="F111" s="255"/>
      <c r="G111" s="255"/>
      <c r="H111" s="255"/>
      <c r="I111" t="s" s="255">
        <v>2144</v>
      </c>
      <c r="J111" s="566">
        <f>'Driver Assumptions'!E195</f>
        <v>-2615.736145462925</v>
      </c>
      <c r="K111" s="566">
        <f>'Driver Assumptions'!E196</f>
        <v>-2472.822483327448</v>
      </c>
      <c r="L111" s="566">
        <f>'Driver Assumptions'!E197</f>
        <v>-2197.922943338843</v>
      </c>
      <c r="M111" s="566">
        <f>'Driver Assumptions'!E198</f>
        <v>-1776.5450220407263</v>
      </c>
      <c r="N111" s="255"/>
      <c r="O111" s="255"/>
      <c r="P111" s="566">
        <f>'Driver Assumptions'!F195</f>
        <v>-2654.1722036767824</v>
      </c>
      <c r="Q111" s="566">
        <f>'Driver Assumptions'!F196</f>
        <v>-2599.811809030593</v>
      </c>
      <c r="R111" s="566">
        <f>'Driver Assumptions'!F197</f>
        <v>-2483.292298265301</v>
      </c>
      <c r="S111" s="566">
        <f>'Driver Assumptions'!F198</f>
        <v>-2309.773491388266</v>
      </c>
      <c r="T111" s="255"/>
      <c r="U111" s="255"/>
    </row>
    <row r="112">
      <c r="C112" s="255"/>
      <c r="D112" s="255"/>
      <c r="E112" s="255"/>
      <c r="F112" s="255"/>
      <c r="G112" s="255"/>
      <c r="H112" s="255"/>
      <c r="I112" t="s" s="563">
        <v>972</v>
      </c>
      <c r="J112" s="567">
        <f>'Driver Assumptions'!E199</f>
        <v>10156.292721850681</v>
      </c>
      <c r="K112" s="567">
        <f>'Driver Assumptions'!E200</f>
        <v>13225.34403739782</v>
      </c>
      <c r="L112" s="567">
        <f>'Driver Assumptions'!E201</f>
        <v>16723.029918286928</v>
      </c>
      <c r="M112" s="567">
        <f>'Driver Assumptions'!E202</f>
        <v>20418.829752738824</v>
      </c>
      <c r="N112" s="563"/>
      <c r="O112" s="563"/>
      <c r="P112" s="567">
        <f>'Driver Assumptions'!F199</f>
        <v>8616.545201991903</v>
      </c>
      <c r="Q112" s="567">
        <f>'Driver Assumptions'!F200</f>
        <v>10252.000870159261</v>
      </c>
      <c r="R112" s="567">
        <f>'Driver Assumptions'!F201</f>
        <v>11877.707845807145</v>
      </c>
      <c r="S112" s="567">
        <f>'Driver Assumptions'!F202</f>
        <v>13617.175093682741</v>
      </c>
      <c r="T112" s="255"/>
      <c r="U112" s="255"/>
    </row>
    <row r="113">
      <c r="C113" s="255"/>
      <c r="D113" s="255"/>
      <c r="E113" s="255"/>
      <c r="F113" s="255"/>
      <c r="G113" s="255"/>
      <c r="H113" s="255"/>
      <c r="I113" t="s" s="255">
        <v>2145</v>
      </c>
      <c r="J113" s="566">
        <f>'Driver Assumptions'!E203</f>
        <v>5737.031985790003</v>
      </c>
      <c r="K113" s="566">
        <f>'Driver Assumptions'!E204</f>
        <v>5737.031985790003</v>
      </c>
      <c r="L113" s="566">
        <f>'Driver Assumptions'!E205</f>
        <v>5737.031985790003</v>
      </c>
      <c r="M113" s="566">
        <f>'Driver Assumptions'!E206</f>
        <v>5737.031985790003</v>
      </c>
      <c r="N113" s="255"/>
      <c r="O113" s="255"/>
      <c r="P113" s="566">
        <f>'Driver Assumptions'!F203</f>
        <v>5737.031985790003</v>
      </c>
      <c r="Q113" s="566">
        <f>'Driver Assumptions'!F204</f>
        <v>5737.031985790003</v>
      </c>
      <c r="R113" s="566">
        <f>'Driver Assumptions'!F205</f>
        <v>5737.031985790003</v>
      </c>
      <c r="S113" s="566">
        <f>'Driver Assumptions'!F206</f>
        <v>5737.031985790003</v>
      </c>
      <c r="T113" s="255"/>
      <c r="U113" s="255"/>
    </row>
    <row r="114">
      <c r="C114" s="255"/>
      <c r="D114" s="255"/>
      <c r="E114" s="255"/>
      <c r="F114" s="255"/>
      <c r="G114" s="255"/>
      <c r="H114" s="255"/>
      <c r="I114" t="s" s="563">
        <v>1452</v>
      </c>
      <c r="J114" s="568">
        <f>'Driver Assumptions'!E207</f>
        <v>1.7703043572018948</v>
      </c>
      <c r="K114" s="568">
        <f>'Driver Assumptions'!E208</f>
        <v>2.305258898705034</v>
      </c>
      <c r="L114" s="568">
        <f>'Driver Assumptions'!E209</f>
        <v>2.914927084197549</v>
      </c>
      <c r="M114" s="568">
        <f>'Driver Assumptions'!E210</f>
        <v>3.5591277516517286</v>
      </c>
      <c r="N114" s="563"/>
      <c r="O114" s="563"/>
      <c r="P114" s="568">
        <f>'Driver Assumptions'!F207</f>
        <v>1.5019168837360741</v>
      </c>
      <c r="Q114" s="568">
        <f>'Driver Assumptions'!F208</f>
        <v>1.7869868767600285</v>
      </c>
      <c r="R114" s="568">
        <f>'Driver Assumptions'!F209</f>
        <v>2.0703576126517893</v>
      </c>
      <c r="S114" s="568">
        <f>'Driver Assumptions'!F210</f>
        <v>2.373557464453917</v>
      </c>
      <c r="T114" s="255"/>
      <c r="U114" s="255"/>
    </row>
    <row r="115">
      <c r="C115" s="255"/>
      <c r="D115" s="255"/>
      <c r="E115" s="255"/>
      <c r="F115" s="255"/>
      <c r="G115" s="255"/>
      <c r="H115" s="255"/>
      <c r="I115" t="s" s="292">
        <v>1451</v>
      </c>
      <c r="J115" s="569">
        <f>'Driver Assumptions'!E211</f>
        <v>0.45688437548498184</v>
      </c>
      <c r="K115" s="569">
        <f>'Driver Assumptions'!E212</f>
        <v>0.39327396345478305</v>
      </c>
      <c r="L115" s="569">
        <f>'Driver Assumptions'!E213</f>
        <v>0.35539648395560053</v>
      </c>
      <c r="M115" s="569">
        <f>'Driver Assumptions'!E214</f>
        <v>0.3244351909962966</v>
      </c>
      <c r="N115" s="292"/>
      <c r="O115" s="292"/>
      <c r="P115" s="569">
        <f>'Driver Assumptions'!F211</f>
        <v>0.307320965922542</v>
      </c>
      <c r="Q115" s="569">
        <f>'Driver Assumptions'!F212</f>
        <v>0.2592668149868673</v>
      </c>
      <c r="R115" s="569">
        <f>'Driver Assumptions'!F213</f>
        <v>0.22979614912512192</v>
      </c>
      <c r="S115" s="569">
        <f>'Driver Assumptions'!F214</f>
        <v>0.21084479191093441</v>
      </c>
      <c r="T115" s="255"/>
      <c r="U115" s="255"/>
    </row>
    <row r="116"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</row>
    <row r="117">
      <c r="C117" s="255"/>
      <c r="D117" s="255"/>
      <c r="E117" s="255"/>
      <c r="F117" s="255"/>
      <c r="G117" s="255"/>
      <c r="H117" s="255"/>
      <c r="I117" t="s" s="548">
        <v>2146</v>
      </c>
      <c r="J117" s="548"/>
      <c r="K117" s="548"/>
      <c r="L117" s="548"/>
      <c r="M117" s="548"/>
      <c r="N117" s="548"/>
      <c r="O117" s="548"/>
      <c r="P117" s="548"/>
      <c r="Q117" s="548"/>
      <c r="R117" s="548"/>
      <c r="S117" s="548"/>
      <c r="T117" s="548"/>
      <c r="U117" s="548"/>
    </row>
    <row r="118">
      <c r="C118" s="255"/>
      <c r="D118" s="255"/>
      <c r="E118" s="255"/>
      <c r="F118" s="255"/>
      <c r="G118" s="255"/>
      <c r="H118" s="255"/>
      <c r="I118" t="s" s="559">
        <v>844</v>
      </c>
      <c r="J118" s="571"/>
      <c r="K118" s="571"/>
      <c r="L118" s="571"/>
      <c r="M118" s="571"/>
      <c r="N118" s="571"/>
      <c r="O118" s="571"/>
      <c r="P118" s="571"/>
      <c r="Q118" s="571"/>
      <c r="R118" s="571"/>
      <c r="S118" s="571"/>
      <c r="T118" s="571"/>
      <c r="U118" s="571"/>
    </row>
    <row r="119">
      <c r="C119" s="255"/>
      <c r="D119" s="255"/>
      <c r="E119" s="255"/>
      <c r="F119" s="255"/>
      <c r="G119" s="255"/>
      <c r="H119" s="255"/>
      <c r="I119" t="s" s="574">
        <v>2147</v>
      </c>
      <c r="J119" t="str" s="255">
        <f>"$"&amp;TEXT(Model!E17,"#,##0")&amp;"m senior secured term loan, fully drawn at close; size per the amended and restated debt commitment letter (21-Jan-26)"</f>
        <v>$2,700m senior secured term loan, fully drawn at close; size per the amended and restated debt commitment letter (21-Jan-26)</v>
      </c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</row>
    <row r="120">
      <c r="C120" s="255"/>
      <c r="D120" s="255"/>
      <c r="E120" s="255"/>
      <c r="F120" s="255"/>
      <c r="G120" s="255"/>
      <c r="H120" s="255"/>
      <c r="I120" t="s" s="574">
        <v>1056</v>
      </c>
      <c r="J120" t="str" s="255">
        <f>"Term SOFR + "&amp;TEXT(Model!H17,"0.00%")&amp;", "&amp;TEXT(Model!I17,"0.00%")&amp;" SOFR floor; SOFR held flat at "&amp;TEXT(Model!E21,"0.00%")&amp;" (Q1'26 debt rate less old margin)"</f>
        <v>Term SOFR + 4.50%, 0.50% SOFR floor; SOFR held flat at 3.53% (Q1'26 debt rate less old margin)</v>
      </c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</row>
    <row r="121">
      <c r="C121" s="255"/>
      <c r="D121" s="255"/>
      <c r="E121" s="255"/>
      <c r="F121" s="255"/>
      <c r="G121" s="255"/>
      <c r="H121" s="255"/>
      <c r="I121" t="s" s="574">
        <v>1763</v>
      </c>
      <c r="J121" t="str" s="255">
        <f>"Less "&amp;TEXT(Model!E24,"0.00%")&amp;" once first lien net leverage is at or below "&amp;TEXT(Model!E25,"0.00x")&amp;", after the first two full fiscal quarters"</f>
        <v>Less 0.25% once first lien net leverage is at or below 7.50x, after the first two full fiscal quarters</v>
      </c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</row>
    <row r="122">
      <c r="C122" s="255"/>
      <c r="D122" s="255"/>
      <c r="E122" s="255"/>
      <c r="F122" s="255"/>
      <c r="G122" s="255"/>
      <c r="H122" s="255"/>
      <c r="I122" t="s" s="574">
        <v>2148</v>
      </c>
      <c r="J122" t="str" s="255">
        <f>"Up to "&amp;TEXT(Model!I21,"0%")&amp;" of the margin paid in kind, plus a "&amp;TEXT(Model!I22,"0.00%")&amp;" PIK step-up, until "&amp;TEXT(Model!I24,"d-mmm-yy")&amp;"; modeled as elected in full"</f>
        <v>Up to 50% of the margin paid in kind, plus a 0.25% PIK step-up, until 25-Jun-28; modeled as elected in full</v>
      </c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</row>
    <row r="123">
      <c r="C123" s="255"/>
      <c r="D123" s="255"/>
      <c r="E123" s="255"/>
      <c r="F123" s="255"/>
      <c r="G123" s="255"/>
      <c r="H123" s="255"/>
      <c r="I123" t="s" s="574">
        <v>2149</v>
      </c>
      <c r="J123" t="str" s="255">
        <f>TEXT(Model!I5,"0.0%")&amp;" of the term loan ($"&amp;TEXT(Model!M19,"#,##0")&amp;"m), capitalized and amortized over "&amp;TEXT(Model!K17,"0")&amp;" years (assumption; fee letter not filed)"</f>
        <v>2.0% of the term loan ($54m), capitalized and amortized over 7 years (assumption; fee letter not filed)</v>
      </c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</row>
    <row r="124">
      <c r="C124" s="255"/>
      <c r="D124" s="255"/>
      <c r="E124" s="255"/>
      <c r="F124" s="255"/>
      <c r="G124" s="255"/>
      <c r="H124" s="255"/>
      <c r="I124" t="s" s="574">
        <v>2150</v>
      </c>
      <c r="J124" t="str" s="255">
        <f>TEXT(Model!K17,"0")&amp;"-year maturity, no interim amortization"</f>
        <v>7-year maturity, no interim amortization</v>
      </c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</row>
    <row r="125">
      <c r="C125" s="255"/>
      <c r="D125" s="255"/>
      <c r="E125" s="255"/>
      <c r="F125" s="255"/>
      <c r="G125" s="255"/>
      <c r="H125" s="255"/>
      <c r="I125" t="s" s="574">
        <v>2151</v>
      </c>
      <c r="J125" t="s" s="255">
        <v>2152</v>
      </c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</row>
    <row r="126">
      <c r="C126" s="255"/>
      <c r="D126" s="255"/>
      <c r="E126" s="255"/>
      <c r="F126" s="255"/>
      <c r="G126" s="255"/>
      <c r="H126" s="255"/>
      <c r="I126" t="s" s="559">
        <v>845</v>
      </c>
      <c r="J126" s="571"/>
      <c r="K126" s="571"/>
      <c r="L126" s="571"/>
      <c r="M126" s="571"/>
      <c r="N126" s="571"/>
      <c r="O126" s="571"/>
      <c r="P126" s="571"/>
      <c r="Q126" s="571"/>
      <c r="R126" s="571"/>
      <c r="S126" s="571"/>
      <c r="T126" s="571"/>
      <c r="U126" s="571"/>
    </row>
    <row r="127">
      <c r="C127" s="255"/>
      <c r="D127" s="255"/>
      <c r="E127" s="255"/>
      <c r="F127" s="255"/>
      <c r="G127" s="255"/>
      <c r="H127" s="255"/>
      <c r="I127" t="s" s="574">
        <v>2153</v>
      </c>
      <c r="J127" t="str" s="255">
        <f>"$"&amp;TEXT(Model!E18,"#,##0")&amp;"m commitment for acquisitions, other investments and capex after close; same terms as the term loan"</f>
        <v>$500m commitment for acquisitions, other investments and capex after close; same terms as the term loan</v>
      </c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</row>
    <row r="128">
      <c r="C128" s="255"/>
      <c r="D128" s="255"/>
      <c r="E128" s="255"/>
      <c r="F128" s="255"/>
      <c r="G128" s="255"/>
      <c r="H128" s="255"/>
      <c r="I128" t="s" s="574">
        <v>2154</v>
      </c>
      <c r="J128" t="str" s="255">
        <f>"Available until "&amp;TEXT(Model!I25,"d-mmm-yy")&amp;"; undrawn fee 0.00% for "&amp;TEXT(Model!M26,"0")&amp;" days, "&amp;TEXT(Model!M24,"0.00%")&amp;" to year 1, "&amp;TEXT(Model!M25,"0.00%")&amp;" thereafter"</f>
        <v>Available until 25-Dec-28; undrawn fee 0.00% for 90 days, 0.50% to year 1, 1.00% thereafter</v>
      </c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</row>
    <row r="129">
      <c r="C129" s="255"/>
      <c r="D129" s="255"/>
      <c r="E129" s="255"/>
      <c r="F129" s="255"/>
      <c r="G129" s="255"/>
      <c r="H129" s="255"/>
      <c r="I129" t="s" s="574">
        <v>2155</v>
      </c>
      <c r="J129" t="s" s="255">
        <v>2156</v>
      </c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</row>
    <row r="130">
      <c r="C130" s="255"/>
      <c r="D130" s="255"/>
      <c r="E130" s="255"/>
      <c r="F130" s="255"/>
      <c r="G130" s="255"/>
      <c r="H130" s="255"/>
      <c r="I130" t="s" s="559">
        <v>846</v>
      </c>
      <c r="J130" s="571"/>
      <c r="K130" s="571"/>
      <c r="L130" s="571"/>
      <c r="M130" s="571"/>
      <c r="N130" s="571"/>
      <c r="O130" s="571"/>
      <c r="P130" s="571"/>
      <c r="Q130" s="571"/>
      <c r="R130" s="571"/>
      <c r="S130" s="571"/>
      <c r="T130" s="571"/>
      <c r="U130" s="571"/>
    </row>
    <row r="131">
      <c r="C131" s="255"/>
      <c r="D131" s="255"/>
      <c r="E131" s="255"/>
      <c r="F131" s="255"/>
      <c r="G131" s="255"/>
      <c r="H131" s="255"/>
      <c r="I131" t="s" s="574">
        <v>2153</v>
      </c>
      <c r="J131" t="str" s="255">
        <f>"$"&amp;TEXT(Model!E16,"#,##0")&amp;"m, 7-year; up to $"&amp;TEXT(Model!E26,"#,##0.00")&amp;"m usable on the closing date"</f>
        <v>$325m, 7-year; up to $81.25m usable on the closing date</v>
      </c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</row>
    <row r="132">
      <c r="C132" s="255"/>
      <c r="D132" s="255"/>
      <c r="E132" s="255"/>
      <c r="F132" s="255"/>
      <c r="G132" s="255"/>
      <c r="H132" s="255"/>
      <c r="I132" t="s" s="574">
        <v>2157</v>
      </c>
      <c r="J132" t="str" s="255">
        <f>TEXT(Model!D16,"0.00%")&amp;" on undrawn commitments, stepping down "&amp;TEXT(Model!M21,"0.000%")&amp;" at "&amp;TEXT(Model!M22,"0.00x")&amp;" and again at "&amp;TEXT(Model!M23,"0.00x")&amp;" first lien net leverage"</f>
        <v>0.50% on undrawn commitments, stepping down 0.125% at 7.50x and again at 7.00x first lien net leverage</v>
      </c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</row>
    <row r="133">
      <c r="C133" s="255"/>
      <c r="D133" s="255"/>
      <c r="E133" s="255"/>
      <c r="F133" s="255"/>
      <c r="G133" s="255"/>
      <c r="H133" s="255"/>
      <c r="I133" t="s" s="574">
        <v>2155</v>
      </c>
      <c r="J133" t="s" s="255">
        <v>2158</v>
      </c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</row>
    <row r="134">
      <c r="C134" s="255"/>
      <c r="D134" s="255"/>
      <c r="E134" s="255"/>
      <c r="F134" s="255"/>
      <c r="G134" s="255"/>
      <c r="H134" s="255"/>
      <c r="I134" t="s" s="559">
        <v>2159</v>
      </c>
      <c r="J134" s="571"/>
      <c r="K134" s="571"/>
      <c r="L134" s="571"/>
      <c r="M134" s="571"/>
      <c r="N134" s="571"/>
      <c r="O134" s="571"/>
      <c r="P134" s="571"/>
      <c r="Q134" s="571"/>
      <c r="R134" s="571"/>
      <c r="S134" s="571"/>
      <c r="T134" s="571"/>
      <c r="U134" s="571"/>
    </row>
    <row r="135">
      <c r="C135" s="255"/>
      <c r="D135" s="255"/>
      <c r="E135" s="255"/>
      <c r="F135" s="255"/>
      <c r="G135" s="255"/>
      <c r="H135" s="255"/>
      <c r="I135" t="s" s="574">
        <v>1103</v>
      </c>
      <c r="J135" t="str" s="255">
        <f>"Commitment $"&amp;TEXT(Model!L30,"#,##0.0")&amp;"m; funded $"&amp;TEXT(Model!N30,"#,##0.0")&amp;"m"</f>
        <v>Commitment $2,577.5m; funded $2,504.2m</v>
      </c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</row>
    <row r="136">
      <c r="C136" s="255"/>
      <c r="D136" s="255"/>
      <c r="E136" s="255"/>
      <c r="F136" s="255"/>
      <c r="G136" s="255"/>
      <c r="H136" s="255"/>
      <c r="I136" t="s" s="574">
        <v>1104</v>
      </c>
      <c r="J136" t="str" s="255">
        <f>"Commitment $"&amp;TEXT(Model!L31,"#,##0.0")&amp;"m; funded $"&amp;TEXT(Model!N31,"#,##0.0")&amp;"m"</f>
        <v>Commitment $1,827.5m; funded $1,775.5m</v>
      </c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</row>
    <row r="137">
      <c r="C137" s="255"/>
      <c r="D137" s="255"/>
      <c r="E137" s="255"/>
      <c r="F137" s="255"/>
      <c r="G137" s="255"/>
      <c r="H137" s="255"/>
      <c r="I137" t="s" s="574">
        <v>1105</v>
      </c>
      <c r="J137" t="str" s="255">
        <f>"Commitment $"&amp;TEXT(Model!L32,"#,##0.0")&amp;"m; funded $"&amp;TEXT(Model!N32,"#,##0.0")&amp;"m"</f>
        <v>Commitment $750.0m; funded $728.7m</v>
      </c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</row>
    <row r="138">
      <c r="C138" s="255"/>
      <c r="D138" s="255"/>
      <c r="E138" s="255"/>
      <c r="F138" s="255"/>
      <c r="G138" s="255"/>
      <c r="H138" s="255"/>
      <c r="I138" t="s" s="574">
        <v>1106</v>
      </c>
      <c r="J138" t="str" s="255">
        <f>"Commitment $"&amp;TEXT(Model!L33,"#,##0.0")&amp;"m; funded $"&amp;TEXT(Model!N33,"#,##0.0")&amp;"m"</f>
        <v>Commitment $750.0m; funded $728.7m</v>
      </c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</row>
    <row r="139">
      <c r="C139" s="255"/>
      <c r="D139" s="255"/>
      <c r="E139" s="255"/>
      <c r="F139" s="255"/>
      <c r="G139" s="255"/>
      <c r="H139" s="255"/>
      <c r="I139" t="s" s="575">
        <v>37</v>
      </c>
      <c r="J139" t="str" s="292">
        <f>"Commitments $"&amp;TEXT(Model!L34,"#,##0.0")&amp;"m; funded $"&amp;TEXT(Model!N34,"#,##0.0")&amp;"m (pro rata plug); no rollover, no incentive pool"</f>
        <v>Commitments $5,905.0m; funded $5,737.0m (pro rata plug); no rollover, no incentive pool</v>
      </c>
      <c r="K139" s="292"/>
      <c r="L139" s="292"/>
      <c r="M139" s="292"/>
      <c r="N139" s="292"/>
      <c r="O139" s="292"/>
      <c r="P139" s="292"/>
      <c r="Q139" s="292"/>
      <c r="R139" s="292"/>
      <c r="S139" s="292"/>
      <c r="T139" s="292"/>
      <c r="U139" s="292"/>
    </row>
    <row r="140"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</row>
    <row r="141"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</row>
    <row r="142"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</row>
    <row r="143"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</row>
    <row r="144"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</row>
    <row r="145"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</row>
    <row r="146"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</row>
    <row r="147"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</row>
    <row r="148"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</row>
    <row r="149"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</row>
    <row r="150"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</row>
    <row r="151"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</row>
    <row r="152"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</row>
    <row r="153"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</row>
  </sheetData>
  <mergeCells count="14">
    <mergeCell ref="J23:K23"/>
    <mergeCell ref="L23:Q23"/>
    <mergeCell ref="S23:T23"/>
    <mergeCell ref="K57:O57"/>
    <mergeCell ref="Q57:U57"/>
    <mergeCell ref="K66:O66"/>
    <mergeCell ref="Q66:U66"/>
    <mergeCell ref="K75:O75"/>
    <mergeCell ref="J85:O85"/>
    <mergeCell ref="P85:U85"/>
    <mergeCell ref="J95:O95"/>
    <mergeCell ref="P95:U95"/>
    <mergeCell ref="J106:M106"/>
    <mergeCell ref="P106:S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0"/>
  <sheetViews>
    <sheetView showGridLines="0" tabSelected="1" workbookViewId="0">
      <selection activeCell="A1" sqref="A1"/>
    </sheetView>
  </sheetViews>
  <cols>
    <col min="1" max="2" width="1.50390625" customWidth="1"/>
    <col min="3" max="3" width="28.50390625" customWidth="1"/>
    <col min="4" max="9" width="10.21875" customWidth="1"/>
    <col min="10" max="10" width="2.64453125" customWidth="1"/>
    <col min="11" max="11" width="32.359375" customWidth="1"/>
    <col min="12" max="18" width="10.21875" customWidth="1"/>
    <col min="19" max="19" width="1.50390625" customWidth="1"/>
  </cols>
  <sheetData>
    <row r="1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</row>
    <row r="2">
      <c r="A2" s="255"/>
      <c r="B2" s="255"/>
      <c r="C2" t="s" s="578">
        <v>2278</v>
      </c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</row>
    <row r="3">
      <c r="A3" s="255"/>
      <c r="B3" s="255"/>
      <c r="C3" t="s" s="279">
        <v>2279</v>
      </c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</row>
    <row r="4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</row>
    <row r="5">
      <c r="A5" s="255"/>
      <c r="B5" s="255"/>
      <c r="C5" t="s" s="548">
        <v>2186</v>
      </c>
      <c r="D5" s="548"/>
      <c r="E5" s="548"/>
      <c r="F5" s="548"/>
      <c r="G5" s="548"/>
      <c r="H5" s="548"/>
      <c r="I5" s="548"/>
      <c r="J5" s="255"/>
      <c r="K5" t="s" s="548">
        <v>2228</v>
      </c>
      <c r="L5" s="548"/>
      <c r="M5" s="548"/>
      <c r="N5" s="548"/>
      <c r="O5" s="548"/>
      <c r="P5" s="548"/>
      <c r="Q5" s="548"/>
      <c r="R5" s="548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</row>
    <row r="6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t="s" s="580">
        <v>303</v>
      </c>
      <c r="M6" t="s" s="580">
        <v>2246</v>
      </c>
      <c r="N6" t="s" s="580">
        <v>2247</v>
      </c>
      <c r="O6" t="s" s="580">
        <v>2249</v>
      </c>
      <c r="P6" t="s" s="580">
        <v>1451</v>
      </c>
      <c r="Q6" t="s" s="580">
        <v>1452</v>
      </c>
      <c r="R6" t="s" s="580">
        <v>2283</v>
      </c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</row>
    <row r="7">
      <c r="A7" s="255"/>
      <c r="B7" s="255"/>
      <c r="C7" s="255"/>
      <c r="D7" s="255"/>
      <c r="E7" s="255"/>
      <c r="F7" s="255"/>
      <c r="G7" s="255"/>
      <c r="H7" s="255"/>
      <c r="I7" s="255"/>
      <c r="J7" s="255"/>
      <c r="K7" t="s" s="255">
        <v>2230</v>
      </c>
      <c r="L7" s="607">
        <f>Sensitivities!E89</f>
        <v>1479.5136556293476</v>
      </c>
      <c r="M7" s="607">
        <f>Sensitivities!F89</f>
        <v>573.4936124361247</v>
      </c>
      <c r="N7" s="666">
        <f>Sensitivities!G89</f>
        <v>4.15832616035263</v>
      </c>
      <c r="O7" s="666">
        <f>Sensitivities!H89</f>
        <v>2.969965134551802</v>
      </c>
      <c r="P7" s="667">
        <f>Sensitivities!I89</f>
        <v>0.21071793437004088</v>
      </c>
      <c r="Q7" s="668">
        <f>Sensitivities!J89</f>
        <v>2.3735574644539166</v>
      </c>
      <c r="R7" s="593">
        <f>Sensitivities!K89</f>
        <v>25.328290564232418</v>
      </c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</row>
    <row r="8">
      <c r="A8" s="255"/>
      <c r="B8" s="255"/>
      <c r="C8" s="255"/>
      <c r="D8" s="255"/>
      <c r="E8" s="255"/>
      <c r="F8" s="255"/>
      <c r="G8" s="255"/>
      <c r="H8" s="255"/>
      <c r="I8" s="255"/>
      <c r="J8" s="255"/>
      <c r="K8" t="s" s="255">
        <v>2007</v>
      </c>
      <c r="L8" s="607">
        <f>Sensitivities!E90</f>
        <v>1810.386268493151</v>
      </c>
      <c r="M8" s="607">
        <f>Sensitivities!F90</f>
        <v>764.4298410958905</v>
      </c>
      <c r="N8" s="666">
        <f>Sensitivities!G90</f>
        <v>2.422125514338847</v>
      </c>
      <c r="O8" s="666">
        <f>Sensitivities!H90</f>
        <v>4.740523650094698</v>
      </c>
      <c r="P8" s="667">
        <f>Sensitivities!I90</f>
        <v>0.32423140406608586</v>
      </c>
      <c r="Q8" s="668">
        <f>Sensitivities!J90</f>
        <v>3.5591277516517947</v>
      </c>
      <c r="R8" s="593">
        <f>Sensitivities!K90</f>
        <v>35.0877986840192</v>
      </c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>
      <c r="A9" s="255"/>
      <c r="B9" s="255"/>
      <c r="C9" s="255"/>
      <c r="D9" s="255"/>
      <c r="E9" s="255"/>
      <c r="F9" s="255"/>
      <c r="G9" s="255"/>
      <c r="H9" s="255"/>
      <c r="I9" s="255"/>
      <c r="J9" s="255"/>
      <c r="K9" t="s" s="255">
        <v>632</v>
      </c>
      <c r="L9" s="607">
        <f>Sensitivities!E91</f>
        <v>1682.8780120909169</v>
      </c>
      <c r="M9" s="607">
        <f>Sensitivities!F91</f>
        <v>677.5654970292405</v>
      </c>
      <c r="N9" s="666">
        <f>Sensitivities!G91</f>
        <v>3.06580471978075</v>
      </c>
      <c r="O9" s="666">
        <f>Sensitivities!H91</f>
        <v>3.902833553063711</v>
      </c>
      <c r="P9" s="667">
        <f>Sensitivities!I91</f>
        <v>0.25675064921379087</v>
      </c>
      <c r="Q9" s="668">
        <f>Sensitivities!J91</f>
        <v>2.809702870288302</v>
      </c>
      <c r="R9" s="593">
        <f>Sensitivities!K91</f>
        <v>28.918600371767216</v>
      </c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t="s" s="255">
        <v>633</v>
      </c>
      <c r="L10" s="607">
        <f>Sensitivities!E92</f>
        <v>1296.290368672098</v>
      </c>
      <c r="M10" s="607">
        <f>Sensitivities!F92</f>
        <v>483.0276855134923</v>
      </c>
      <c r="N10" s="666">
        <f>Sensitivities!G92</f>
        <v>5.493624689574137</v>
      </c>
      <c r="O10" s="666">
        <f>Sensitivities!H92</f>
        <v>2.298390923904431</v>
      </c>
      <c r="P10" s="667">
        <f>Sensitivities!I92</f>
        <v>0.16343494057655336</v>
      </c>
      <c r="Q10" s="668">
        <f>Sensitivities!J92</f>
        <v>1.9823955886446254</v>
      </c>
      <c r="R10" s="593">
        <f>Sensitivities!K92</f>
        <v>22.10828113557622</v>
      </c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608"/>
      <c r="M11" s="608"/>
      <c r="N11" s="608"/>
      <c r="O11" s="608"/>
      <c r="P11" s="608"/>
      <c r="Q11" s="608"/>
      <c r="R11" s="608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t="s" s="548">
        <v>2237</v>
      </c>
      <c r="L12" s="669"/>
      <c r="M12" s="669"/>
      <c r="N12" s="669"/>
      <c r="O12" s="669"/>
      <c r="P12" s="669"/>
      <c r="Q12" s="669"/>
      <c r="R12" s="669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t="s" s="670">
        <v>2008</v>
      </c>
      <c r="M13" s="670"/>
      <c r="N13" s="670"/>
      <c r="O13" t="s" s="670">
        <v>2007</v>
      </c>
      <c r="P13" s="670"/>
      <c r="Q13" s="670"/>
      <c r="R13" s="608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t="s" s="580">
        <v>631</v>
      </c>
      <c r="M14" t="str" s="580">
        <f>Sensitivities!E129</f>
        <v>@ 20.0% IRR</v>
      </c>
      <c r="N14" t="str" s="580">
        <f>Sensitivities!F129</f>
        <v>@ 2.0x MOIC</v>
      </c>
      <c r="O14" t="s" s="580">
        <v>631</v>
      </c>
      <c r="P14" t="str" s="580">
        <f>Sensitivities!H129</f>
        <v>@ 20.0% IRR</v>
      </c>
      <c r="Q14" t="str" s="580">
        <f>Sensitivities!I129</f>
        <v>@ 2.0x MOIC</v>
      </c>
      <c r="R14" s="608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t="s" s="255">
        <v>2240</v>
      </c>
      <c r="L15" s="666">
        <f>IF(Sensitivities!D130="","",Sensitivities!D130)</f>
        <v>25.041255617597592</v>
      </c>
      <c r="M15" s="666">
        <f>IF(Sensitivities!E130="","",Sensitivities!E130)</f>
        <v>24.197727064362436</v>
      </c>
      <c r="N15" s="666">
        <f>IF(Sensitivities!F130="","",Sensitivities!F130)</f>
        <v>21.671734259577107</v>
      </c>
      <c r="O15" s="666">
        <f>IF(Sensitivities!G130="","",Sensitivities!G130)</f>
        <v>24.75171931344359</v>
      </c>
      <c r="P15" s="666">
        <f>IF(Sensitivities!H130="","",Sensitivities!H130)</f>
        <v>16.568386246863557</v>
      </c>
      <c r="Q15" s="666">
        <f>IF(Sensitivities!I130="","",Sensitivities!I130)</f>
        <v>14.776743257111308</v>
      </c>
      <c r="R15" s="608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t="s" s="255">
        <v>1984</v>
      </c>
      <c r="L16" t="str" s="599">
        <f>IF(Sensitivities!D132="","",Sensitivities!D132)</f>
        <v/>
      </c>
      <c r="M16" s="599">
        <f>IF(Sensitivities!E132="","",Sensitivities!E132)</f>
        <v>-0.6035960278186439</v>
      </c>
      <c r="N16" s="599">
        <f>IF(Sensitivities!F132="","",Sensitivities!F132)</f>
        <v>-2.510771831785286</v>
      </c>
      <c r="O16" t="str" s="599">
        <f>IF(Sensitivities!G132="","",Sensitivities!G132)</f>
        <v/>
      </c>
      <c r="P16" s="599">
        <f>IF(Sensitivities!H132="","",Sensitivities!H132)</f>
        <v>-7.0948703070498125</v>
      </c>
      <c r="Q16" s="599">
        <f>IF(Sensitivities!I132="","",Sensitivities!I132)</f>
        <v>-8.982836601544065</v>
      </c>
      <c r="R16" s="608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t="s" s="574">
        <v>2242</v>
      </c>
      <c r="L17" s="618">
        <f>IF(Sensitivities!D133="","",Sensitivities!D133)</f>
        <v>0.12119371474853902</v>
      </c>
      <c r="M17" s="618">
        <f>IF(Sensitivities!E133="","",Sensitivities!E133)</f>
        <v>0.11515775447035258</v>
      </c>
      <c r="N17" s="618">
        <f>IF(Sensitivities!F133="","",Sensitivities!F133)</f>
        <v>0.09608599643068616</v>
      </c>
      <c r="O17" s="618">
        <f>IF(Sensitivities!G133="","",Sensitivities!G133)</f>
        <v>0.17749850755115198</v>
      </c>
      <c r="P17" s="618">
        <f>IF(Sensitivities!H133="","",Sensitivities!H133)</f>
        <v>0.10654980448065386</v>
      </c>
      <c r="Q17" s="618">
        <f>IF(Sensitivities!I133="","",Sensitivities!I133)</f>
        <v>0.08767014153571133</v>
      </c>
      <c r="R17" s="608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t="s" s="255">
        <v>2165</v>
      </c>
      <c r="L18" t="str" s="599">
        <f>IF(Sensitivities!D134="","",Sensitivities!D134)</f>
        <v/>
      </c>
      <c r="M18" s="599">
        <f>IF(Sensitivities!E134="","",Sensitivities!E134)</f>
        <v>-1.138423018689962</v>
      </c>
      <c r="N18" s="599">
        <f>IF(Sensitivities!F134="","",Sensitivities!F134)</f>
        <v>-4.530010721198812</v>
      </c>
      <c r="O18" t="str" s="599">
        <f>IF(Sensitivities!G134="","",Sensitivities!G134)</f>
        <v/>
      </c>
      <c r="P18" s="599">
        <f>IF(Sensitivities!H134="","",Sensitivities!H134)</f>
        <v>-12.398014144231942</v>
      </c>
      <c r="Q18" s="599">
        <f>IF(Sensitivities!I134="","",Sensitivities!I134)</f>
        <v>-15.120993662891845</v>
      </c>
      <c r="R18" s="608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t="s" s="574">
        <v>2185</v>
      </c>
      <c r="L19" s="618">
        <f>IF(Sensitivities!D135="","",Sensitivities!D135)</f>
        <v>0.38762306130400337</v>
      </c>
      <c r="M19" s="618">
        <f>IF(Sensitivities!E135="","",Sensitivities!E135)</f>
        <v>0.37623883111710377</v>
      </c>
      <c r="N19" s="618">
        <f>IF(Sensitivities!F135="","",Sensitivities!F135)</f>
        <v>0.34232295409201524</v>
      </c>
      <c r="O19" s="618">
        <f>IF(Sensitivities!G135="","",Sensitivities!G135)</f>
        <v>0.4222468179302712</v>
      </c>
      <c r="P19" s="618">
        <f>IF(Sensitivities!H135="","",Sensitivities!H135)</f>
        <v>0.2982666764879518</v>
      </c>
      <c r="Q19" s="618">
        <f>IF(Sensitivities!I135="","",Sensitivities!I135)</f>
        <v>0.27103688130135273</v>
      </c>
      <c r="R19" s="608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>
      <c r="A22" s="255"/>
      <c r="B22" s="255"/>
      <c r="C22" t="s" s="548">
        <v>2182</v>
      </c>
      <c r="D22" s="548"/>
      <c r="E22" s="548"/>
      <c r="F22" s="548"/>
      <c r="G22" s="548"/>
      <c r="H22" s="548"/>
      <c r="I22" s="548"/>
      <c r="J22" s="255"/>
      <c r="K22" t="s" s="548">
        <v>2184</v>
      </c>
      <c r="L22" s="548"/>
      <c r="M22" s="548"/>
      <c r="N22" s="548"/>
      <c r="O22" s="548"/>
      <c r="P22" s="548"/>
      <c r="Q22" s="548"/>
      <c r="R22" s="548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>
      <c r="A23" s="255"/>
      <c r="B23" s="255"/>
      <c r="C23" s="255"/>
      <c r="D23" t="s" s="671">
        <v>2284</v>
      </c>
      <c r="E23" t="s" s="672">
        <v>2163</v>
      </c>
      <c r="F23" s="672"/>
      <c r="G23" s="672"/>
      <c r="H23" s="672"/>
      <c r="I23" s="672"/>
      <c r="J23" s="255"/>
      <c r="K23" s="255"/>
      <c r="L23" t="s" s="671">
        <v>2259</v>
      </c>
      <c r="M23" t="s" s="672">
        <v>2001</v>
      </c>
      <c r="N23" s="672"/>
      <c r="O23" s="672"/>
      <c r="P23" s="672"/>
      <c r="Q23" s="672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>
      <c r="A24" s="255"/>
      <c r="B24" s="255"/>
      <c r="C24" s="255"/>
      <c r="D24" s="676"/>
      <c r="E24" s="673">
        <f>Sensitivities!F31</f>
        <v>22</v>
      </c>
      <c r="F24" s="673">
        <f>Sensitivities!G31</f>
        <v>23.25</v>
      </c>
      <c r="G24" s="673">
        <f>Sensitivities!H31</f>
        <v>24.55</v>
      </c>
      <c r="H24" s="673">
        <f>Sensitivities!I31</f>
        <v>25.75</v>
      </c>
      <c r="I24" s="673">
        <f>Sensitivities!J31</f>
        <v>27</v>
      </c>
      <c r="J24" s="255"/>
      <c r="K24" s="255"/>
      <c r="L24" s="676"/>
      <c r="M24" s="674">
        <f>Sensitivities!F49</f>
        <v>-4</v>
      </c>
      <c r="N24" s="674">
        <f>Sensitivities!G49</f>
        <v>-2</v>
      </c>
      <c r="O24" s="674">
        <f>Sensitivities!H49</f>
        <v>0</v>
      </c>
      <c r="P24" s="674">
        <f>Sensitivities!I49</f>
        <v>2</v>
      </c>
      <c r="Q24" s="674">
        <f>Sensitivities!J49</f>
        <v>4</v>
      </c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>
      <c r="A25" s="255"/>
      <c r="B25" s="255"/>
      <c r="C25" s="255"/>
      <c r="D25" s="666">
        <f>Sensitivities!D32</f>
        <v>23.041255617597592</v>
      </c>
      <c r="E25" s="618">
        <f>Sensitivities!F32</f>
        <v>0.22364806532859802</v>
      </c>
      <c r="F25" s="618">
        <f>Sensitivities!G32</f>
        <v>0.2037054240703583</v>
      </c>
      <c r="G25" s="618">
        <f>Sensitivities!H32</f>
        <v>0.18473483920097353</v>
      </c>
      <c r="H25" s="618">
        <f>Sensitivities!I32</f>
        <v>0.1685965955257416</v>
      </c>
      <c r="I25" s="618">
        <f>Sensitivities!J32</f>
        <v>0.15299968123435972</v>
      </c>
      <c r="J25" s="255"/>
      <c r="K25" s="255"/>
      <c r="L25" s="675">
        <f>Sensitivities!E50</f>
        <v>-4</v>
      </c>
      <c r="M25" s="618">
        <f>Sensitivities!F50</f>
        <v>0.09781569838523865</v>
      </c>
      <c r="N25" s="618">
        <f>Sensitivities!G50</f>
        <v>0.1187544286251068</v>
      </c>
      <c r="O25" s="618">
        <f>Sensitivities!H50</f>
        <v>0.13841753602027895</v>
      </c>
      <c r="P25" s="618">
        <f>Sensitivities!I50</f>
        <v>0.15673994421958928</v>
      </c>
      <c r="Q25" s="618">
        <f>Sensitivities!J50</f>
        <v>0.1742910921573639</v>
      </c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</row>
    <row r="26">
      <c r="A26" s="255"/>
      <c r="B26" s="255"/>
      <c r="C26" s="255"/>
      <c r="D26" s="666">
        <f>Sensitivities!D33</f>
        <v>24.041255617597592</v>
      </c>
      <c r="E26" s="618">
        <f>Sensitivities!F33</f>
        <v>0.2373224437236786</v>
      </c>
      <c r="F26" s="618">
        <f>Sensitivities!G33</f>
        <v>0.21715694069862365</v>
      </c>
      <c r="G26" s="618">
        <f>Sensitivities!H33</f>
        <v>0.1979743540287018</v>
      </c>
      <c r="H26" s="618">
        <f>Sensitivities!I33</f>
        <v>0.1816557705402375</v>
      </c>
      <c r="I26" s="618">
        <f>Sensitivities!J33</f>
        <v>0.16588456034660343</v>
      </c>
      <c r="J26" s="255"/>
      <c r="K26" s="255"/>
      <c r="L26" s="675">
        <f>Sensitivities!E51</f>
        <v>-2</v>
      </c>
      <c r="M26" s="618">
        <f>Sensitivities!F51</f>
        <v>0.13515672087669375</v>
      </c>
      <c r="N26" s="618">
        <f>Sensitivities!G51</f>
        <v>0.15577445626258854</v>
      </c>
      <c r="O26" s="618">
        <f>Sensitivities!H51</f>
        <v>0.1749712646007538</v>
      </c>
      <c r="P26" s="618">
        <f>Sensitivities!I51</f>
        <v>0.19310985207557682</v>
      </c>
      <c r="Q26" s="618">
        <f>Sensitivities!J51</f>
        <v>0.21051271557807927</v>
      </c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</row>
    <row r="27">
      <c r="A27" s="255"/>
      <c r="B27" s="255"/>
      <c r="C27" s="255"/>
      <c r="D27" s="666">
        <f>Sensitivities!D34</f>
        <v>25.041255617597592</v>
      </c>
      <c r="E27" s="618">
        <f>Sensitivities!F34</f>
        <v>0.2504845917224884</v>
      </c>
      <c r="F27" s="618">
        <f>Sensitivities!G34</f>
        <v>0.23010457158088687</v>
      </c>
      <c r="G27" s="620">
        <f>Sensitivities!H34</f>
        <v>0.21071793437004088</v>
      </c>
      <c r="H27" s="618">
        <f>Sensitivities!I34</f>
        <v>0.1942257583141327</v>
      </c>
      <c r="I27" s="618">
        <f>Sensitivities!J34</f>
        <v>0.1782867729663849</v>
      </c>
      <c r="J27" s="255"/>
      <c r="K27" s="255"/>
      <c r="L27" s="675">
        <f>Sensitivities!E52</f>
        <v>0</v>
      </c>
      <c r="M27" s="618">
        <f>Sensitivities!F52</f>
        <v>0.1712779700756073</v>
      </c>
      <c r="N27" s="618">
        <f>Sensitivities!G52</f>
        <v>0.1916639983654022</v>
      </c>
      <c r="O27" s="620">
        <f>Sensitivities!H52</f>
        <v>0.21071793437004088</v>
      </c>
      <c r="P27" s="618">
        <f>Sensitivities!I52</f>
        <v>0.22893760800361637</v>
      </c>
      <c r="Q27" s="618">
        <f>Sensitivities!J52</f>
        <v>0.24608371853828434</v>
      </c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</row>
    <row r="28">
      <c r="A28" s="255"/>
      <c r="B28" s="255"/>
      <c r="C28" s="255"/>
      <c r="D28" s="666">
        <f>Sensitivities!D35</f>
        <v>26.041255617597592</v>
      </c>
      <c r="E28" s="618">
        <f>Sensitivities!F35</f>
        <v>0.26317632794380186</v>
      </c>
      <c r="F28" s="618">
        <f>Sensitivities!G35</f>
        <v>0.24258945584297184</v>
      </c>
      <c r="G28" s="618">
        <f>Sensitivities!H35</f>
        <v>0.22300605177879335</v>
      </c>
      <c r="H28" s="618">
        <f>Sensitivities!I35</f>
        <v>0.2063464939594269</v>
      </c>
      <c r="I28" s="618">
        <f>Sensitivities!J35</f>
        <v>0.19024574160575866</v>
      </c>
      <c r="J28" s="255"/>
      <c r="K28" s="255"/>
      <c r="L28" s="675">
        <f>Sensitivities!E53</f>
        <v>2</v>
      </c>
      <c r="M28" s="618">
        <f>Sensitivities!F53</f>
        <v>0.20676621794700625</v>
      </c>
      <c r="N28" s="618">
        <f>Sensitivities!G53</f>
        <v>0.22685000300407412</v>
      </c>
      <c r="O28" s="618">
        <f>Sensitivities!H53</f>
        <v>0.24582349658012387</v>
      </c>
      <c r="P28" s="618">
        <f>Sensitivities!I53</f>
        <v>0.2639909207820892</v>
      </c>
      <c r="Q28" s="618">
        <f>Sensitivities!J53</f>
        <v>0.2811383545398711</v>
      </c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</row>
    <row r="29">
      <c r="A29" s="255"/>
      <c r="B29" s="255"/>
      <c r="C29" s="255"/>
      <c r="D29" s="666">
        <f>Sensitivities!D36</f>
        <v>27.041255617597592</v>
      </c>
      <c r="E29" s="618">
        <f>Sensitivities!F36</f>
        <v>0.2754343688488007</v>
      </c>
      <c r="F29" s="618">
        <f>Sensitivities!G36</f>
        <v>0.2546477258205413</v>
      </c>
      <c r="G29" s="618">
        <f>Sensitivities!H36</f>
        <v>0.23487429022789</v>
      </c>
      <c r="H29" s="618">
        <f>Sensitivities!I36</f>
        <v>0.21805304884910579</v>
      </c>
      <c r="I29" s="618">
        <f>Sensitivities!J36</f>
        <v>0.20179606080055243</v>
      </c>
      <c r="J29" s="255"/>
      <c r="K29" s="255"/>
      <c r="L29" s="675">
        <f>Sensitivities!E54</f>
        <v>4</v>
      </c>
      <c r="M29" s="618">
        <f>Sensitivities!F54</f>
        <v>0.2414117634296417</v>
      </c>
      <c r="N29" s="618">
        <f>Sensitivities!G54</f>
        <v>0.26144781708717346</v>
      </c>
      <c r="O29" s="618">
        <f>Sensitivities!H54</f>
        <v>0.2804097950458526</v>
      </c>
      <c r="P29" s="618">
        <f>Sensitivities!I54</f>
        <v>0.29857671856880186</v>
      </c>
      <c r="Q29" s="618">
        <f>Sensitivities!J54</f>
        <v>0.3157592594623566</v>
      </c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>
      <c r="A31" s="255"/>
      <c r="B31" s="255"/>
      <c r="C31" t="s" s="677">
        <v>2281</v>
      </c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</row>
    <row r="59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</row>
    <row r="60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</row>
    <row r="61">
      <c r="A61" s="25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</row>
    <row r="62">
      <c r="A62" s="255"/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</row>
    <row r="63">
      <c r="A63" s="25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</row>
    <row r="64">
      <c r="A64" s="25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</row>
    <row r="65">
      <c r="A65" s="25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</row>
    <row r="66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</row>
    <row r="67">
      <c r="A67" s="25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</row>
    <row r="68">
      <c r="A68" s="25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</row>
    <row r="69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</row>
    <row r="70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</row>
    <row r="71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</row>
    <row r="72">
      <c r="A72" s="25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</row>
    <row r="73">
      <c r="A73" s="25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</row>
    <row r="74">
      <c r="A74" s="25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</row>
    <row r="75">
      <c r="A75" s="25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</row>
    <row r="76">
      <c r="A76" s="25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</row>
    <row r="77">
      <c r="A77" s="255"/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</row>
    <row r="78">
      <c r="A78" s="255"/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</row>
    <row r="79">
      <c r="A79" s="25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</row>
    <row r="80">
      <c r="A80" s="25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</row>
    <row r="81">
      <c r="A81" s="25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</row>
    <row r="82">
      <c r="A82" s="255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</row>
    <row r="83">
      <c r="A83" s="255"/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</row>
    <row r="84">
      <c r="A84" s="255"/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>
      <c r="A85" s="25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>
      <c r="A86" s="255"/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>
      <c r="A87" s="255"/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>
      <c r="A88" s="255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>
      <c r="A89" s="255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>
      <c r="A90" s="255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>
      <c r="A91" s="255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>
      <c r="A92" s="255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>
      <c r="A93" s="25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>
      <c r="A94" s="25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>
      <c r="A95" s="25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>
      <c r="A96" s="255"/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>
      <c r="A97" s="255"/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>
      <c r="A98" s="25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>
      <c r="A99" s="25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>
      <c r="A100" s="25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>
      <c r="A101" s="25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>
      <c r="A102" s="255"/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>
      <c r="A103" s="255"/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>
      <c r="A104" s="25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>
      <c r="A105" s="25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>
      <c r="A106" s="255"/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>
      <c r="A107" s="255"/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>
      <c r="A108" s="25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>
      <c r="A109" s="25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>
      <c r="A110" s="25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>
      <c r="A111" s="25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>
      <c r="A112" s="25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>
      <c r="A113" s="255"/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>
      <c r="A114" s="25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>
      <c r="A115" s="25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>
      <c r="A116" s="25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>
      <c r="A117" s="255"/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>
      <c r="A118" s="25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>
      <c r="A119" s="25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>
      <c r="A120" s="25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>
      <c r="A121" s="255"/>
      <c r="B121" s="255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>
      <c r="A122" s="25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>
      <c r="A123" s="25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>
      <c r="A124" s="25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>
      <c r="A125" s="25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>
      <c r="A126" s="25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>
      <c r="A127" s="25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>
      <c r="A128" s="25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>
      <c r="A129" s="255"/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>
      <c r="A130" s="25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>
      <c r="A131" s="25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>
      <c r="A132" s="25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>
      <c r="A133" s="25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>
      <c r="A134" s="25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>
      <c r="A135" s="255"/>
      <c r="B135" s="255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>
      <c r="A136" s="25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>
      <c r="A137" s="25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>
      <c r="A138" s="25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>
      <c r="A139" s="25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>
      <c r="A140" s="25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>
      <c r="A141" s="255"/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>
      <c r="A142" s="25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>
      <c r="A143" s="25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>
      <c r="A144" s="25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>
      <c r="A145" s="25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>
      <c r="A146" s="255"/>
      <c r="B146" s="255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>
      <c r="A147" s="25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>
      <c r="A148" s="25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>
      <c r="A149" s="25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>
      <c r="A150" s="25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>
      <c r="A151" s="255"/>
      <c r="B151" s="255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>
      <c r="A152" s="25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>
      <c r="A153" s="25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>
      <c r="A154" s="25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>
      <c r="A155" s="25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>
      <c r="A156" s="255"/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>
      <c r="A157" s="25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>
      <c r="A158" s="25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>
      <c r="A159" s="25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>
      <c r="A160" s="25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>
      <c r="A161" s="255"/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>
      <c r="A162" s="25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>
      <c r="A163" s="25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>
      <c r="A164" s="25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255"/>
      <c r="M164" s="255"/>
      <c r="N164" s="255"/>
      <c r="O164" s="255"/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>
      <c r="A165" s="25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255"/>
      <c r="M165" s="255"/>
      <c r="N165" s="255"/>
      <c r="O165" s="255"/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>
      <c r="A166" s="255"/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>
      <c r="A167" s="25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>
      <c r="A168" s="25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>
      <c r="A169" s="25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>
      <c r="A170" s="25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255"/>
      <c r="M170" s="255"/>
      <c r="N170" s="255"/>
      <c r="O170" s="255"/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>
      <c r="A171" s="255"/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  <c r="L171" s="255"/>
      <c r="M171" s="255"/>
      <c r="N171" s="255"/>
      <c r="O171" s="255"/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>
      <c r="A172" s="25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>
      <c r="A173" s="25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255"/>
      <c r="M173" s="255"/>
      <c r="N173" s="255"/>
      <c r="O173" s="255"/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>
      <c r="A174" s="25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255"/>
      <c r="M174" s="255"/>
      <c r="N174" s="255"/>
      <c r="O174" s="255"/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>
      <c r="A175" s="25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255"/>
      <c r="M175" s="255"/>
      <c r="N175" s="255"/>
      <c r="O175" s="255"/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>
      <c r="A176" s="25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255"/>
      <c r="M176" s="255"/>
      <c r="N176" s="255"/>
      <c r="O176" s="255"/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>
      <c r="A177" s="255"/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  <c r="L177" s="255"/>
      <c r="M177" s="255"/>
      <c r="N177" s="255"/>
      <c r="O177" s="255"/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>
      <c r="A178" s="25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>
      <c r="A179" s="25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0">
      <c r="A180" s="25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</row>
    <row r="181">
      <c r="A181" s="25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</row>
    <row r="182">
      <c r="A182" s="255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</row>
    <row r="183">
      <c r="A183" s="255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</row>
    <row r="184">
      <c r="A184" s="255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</row>
    <row r="185">
      <c r="A185" s="255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</row>
    <row r="186">
      <c r="A186" s="25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</row>
    <row r="187">
      <c r="A187" s="25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>
      <c r="A188" s="25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>
      <c r="A189" s="25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>
      <c r="A190" s="25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>
      <c r="A191" s="25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>
      <c r="A192" s="25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>
      <c r="A193" s="25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>
      <c r="A194" s="25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>
      <c r="A195" s="25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>
      <c r="A196" s="25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>
      <c r="A197" s="25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>
      <c r="A198" s="25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>
      <c r="A199" s="25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>
      <c r="A200" s="25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>
      <c r="A201" s="25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>
      <c r="A202" s="25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>
      <c r="A203" s="25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>
      <c r="A204" s="25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>
      <c r="A205" s="25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>
      <c r="A206" s="25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>
      <c r="A207" s="25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>
      <c r="A208" s="25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>
      <c r="A209" s="25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>
      <c r="A210" s="25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>
      <c r="A211" s="25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>
      <c r="A212" s="25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>
      <c r="A213" s="25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>
      <c r="A214" s="25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>
      <c r="A215" s="25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>
      <c r="A216" s="25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>
      <c r="A217" s="25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>
      <c r="A218" s="25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>
      <c r="A219" s="25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0">
      <c r="A220" s="25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</row>
    <row r="221">
      <c r="A221" s="25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</row>
    <row r="222">
      <c r="A222" s="255"/>
      <c r="B222" s="255"/>
      <c r="C222" s="255"/>
      <c r="D222" s="255"/>
      <c r="E222" s="255"/>
      <c r="F222" s="255"/>
      <c r="G222" s="255"/>
      <c r="H222" s="255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</row>
    <row r="223">
      <c r="A223" s="255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</row>
    <row r="224">
      <c r="A224" s="255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</row>
    <row r="225">
      <c r="A225" s="255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</row>
    <row r="226">
      <c r="A226" s="25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</row>
    <row r="227">
      <c r="A227" s="25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>
      <c r="A228" s="25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>
      <c r="A229" s="25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>
      <c r="A230" s="25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>
      <c r="A231" s="25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>
      <c r="A232" s="25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>
      <c r="A233" s="25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>
      <c r="A234" s="25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>
      <c r="A235" s="25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>
      <c r="A236" s="25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>
      <c r="A237" s="25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>
      <c r="A238" s="25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>
      <c r="A239" s="25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>
      <c r="A240" s="25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>
      <c r="A241" s="25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>
      <c r="A242" s="25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>
      <c r="A243" s="25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>
      <c r="A244" s="25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>
      <c r="A245" s="25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>
      <c r="A246" s="25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>
      <c r="A247" s="25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>
      <c r="A248" s="25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>
      <c r="A249" s="25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>
      <c r="A250" s="25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>
      <c r="A251" s="25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>
      <c r="A252" s="25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>
      <c r="A253" s="25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>
      <c r="A254" s="25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>
      <c r="A255" s="25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>
      <c r="A256" s="25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>
      <c r="A257" s="25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>
      <c r="A258" s="25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>
      <c r="A259" s="25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0">
      <c r="A260" s="25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</row>
    <row r="261">
      <c r="A261" s="255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</row>
    <row r="262">
      <c r="A262" s="255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</row>
    <row r="263">
      <c r="A263" s="255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</row>
    <row r="264">
      <c r="A264" s="255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</row>
    <row r="265">
      <c r="A265" s="255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</row>
    <row r="266">
      <c r="A266" s="25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</row>
    <row r="267">
      <c r="A267" s="25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>
      <c r="A268" s="25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>
      <c r="A269" s="25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>
      <c r="A270" s="25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>
      <c r="A271" s="25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>
      <c r="A272" s="25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>
      <c r="A273" s="25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>
      <c r="A274" s="25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>
      <c r="A275" s="25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>
      <c r="A276" s="25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>
      <c r="A277" s="25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>
      <c r="A278" s="25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>
      <c r="A279" s="25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>
      <c r="A280" s="25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>
      <c r="A281" s="25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>
      <c r="A282" s="25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>
      <c r="A283" s="25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>
      <c r="A284" s="25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>
      <c r="A285" s="25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>
      <c r="A286" s="25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>
      <c r="A287" s="25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>
      <c r="A288" s="25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>
      <c r="A289" s="25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>
      <c r="A290" s="25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>
      <c r="A291" s="25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>
      <c r="A292" s="25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>
      <c r="A293" s="25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>
      <c r="A294" s="25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>
      <c r="A295" s="25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>
      <c r="A296" s="25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>
      <c r="A297" s="25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>
      <c r="A298" s="25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>
      <c r="A299" s="25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0">
      <c r="A300" s="25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</row>
    <row r="301">
      <c r="A301" s="25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</row>
    <row r="302">
      <c r="A302" s="255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</row>
    <row r="303">
      <c r="A303" s="255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</row>
    <row r="304">
      <c r="A304" s="25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</row>
    <row r="305">
      <c r="A305" s="255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</row>
    <row r="306">
      <c r="A306" s="25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</row>
    <row r="307">
      <c r="A307" s="25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>
      <c r="A308" s="25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>
      <c r="A309" s="25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>
      <c r="A310" s="25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>
      <c r="A311" s="25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>
      <c r="A312" s="25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>
      <c r="A313" s="25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>
      <c r="A314" s="25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>
      <c r="A315" s="25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>
      <c r="A316" s="25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>
      <c r="A317" s="25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>
      <c r="A318" s="25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>
      <c r="A319" s="25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>
      <c r="A320" s="25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>
      <c r="A321" s="25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>
      <c r="A322" s="25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>
      <c r="A323" s="25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>
      <c r="A324" s="25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>
      <c r="A325" s="25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>
      <c r="A326" s="25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>
      <c r="A327" s="25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>
      <c r="A328" s="25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>
      <c r="A329" s="25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>
      <c r="A330" s="25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>
      <c r="A331" s="25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>
      <c r="A332" s="25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>
      <c r="A333" s="25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>
      <c r="A334" s="25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>
      <c r="A335" s="25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>
      <c r="A336" s="25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>
      <c r="A337" s="25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>
      <c r="A338" s="25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>
      <c r="A339" s="25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>
      <c r="A340" s="25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>
      <c r="A341" s="25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>
      <c r="A342" s="25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>
      <c r="A343" s="25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44">
      <c r="A344" s="25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</row>
    <row r="345">
      <c r="A345" s="25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</row>
    <row r="346">
      <c r="A346" s="255"/>
      <c r="B346" s="255"/>
      <c r="C346" s="255"/>
      <c r="D346" s="255"/>
      <c r="E346" s="255"/>
      <c r="F346" s="255"/>
      <c r="G346" s="255"/>
      <c r="H346" s="255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</row>
    <row r="347">
      <c r="A347" s="255"/>
      <c r="B347" s="255"/>
      <c r="C347" s="255"/>
      <c r="D347" s="255"/>
      <c r="E347" s="255"/>
      <c r="F347" s="255"/>
      <c r="G347" s="255"/>
      <c r="H347" s="255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</row>
    <row r="348">
      <c r="A348" s="255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</row>
    <row r="349">
      <c r="A349" s="255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</row>
    <row r="350">
      <c r="A350" s="25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</row>
    <row r="351">
      <c r="A351" s="25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>
      <c r="A352" s="25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>
      <c r="A353" s="25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>
      <c r="A354" s="25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>
      <c r="A355" s="25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>
      <c r="A356" s="25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>
      <c r="A357" s="25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>
      <c r="A358" s="25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>
      <c r="A359" s="25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>
      <c r="A360" s="25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>
      <c r="A361" s="25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>
      <c r="A362" s="25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>
      <c r="A363" s="25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>
      <c r="A364" s="25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>
      <c r="A365" s="25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>
      <c r="A366" s="25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>
      <c r="A367" s="25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>
      <c r="A368" s="25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>
      <c r="A369" s="25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>
      <c r="A370" s="25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>
      <c r="A371" s="25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>
      <c r="A372" s="25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>
      <c r="A373" s="25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>
      <c r="A374" s="25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>
      <c r="A375" s="25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>
      <c r="A376" s="25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>
      <c r="A377" s="25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>
      <c r="A378" s="25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>
      <c r="A379" s="25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>
      <c r="A380" s="25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>
      <c r="A381" s="25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>
      <c r="A382" s="25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>
      <c r="A383" s="25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84">
      <c r="A384" s="255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</row>
    <row r="385">
      <c r="A385" s="255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</row>
    <row r="386">
      <c r="A386" s="255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</row>
    <row r="387">
      <c r="A387" s="255"/>
      <c r="B387" s="255"/>
      <c r="C387" s="255"/>
      <c r="D387" s="255"/>
      <c r="E387" s="255"/>
      <c r="F387" s="255"/>
      <c r="G387" s="255"/>
      <c r="H387" s="255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</row>
    <row r="388">
      <c r="A388" s="255"/>
      <c r="B388" s="255"/>
      <c r="C388" s="255"/>
      <c r="D388" s="255"/>
      <c r="E388" s="255"/>
      <c r="F388" s="255"/>
      <c r="G388" s="255"/>
      <c r="H388" s="255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</row>
    <row r="389">
      <c r="A389" s="255"/>
      <c r="B389" s="255"/>
      <c r="C389" s="255"/>
      <c r="D389" s="255"/>
      <c r="E389" s="255"/>
      <c r="F389" s="255"/>
      <c r="G389" s="255"/>
      <c r="H389" s="255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</row>
    <row r="390">
      <c r="A390" s="25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</row>
    <row r="391">
      <c r="A391" s="25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>
      <c r="A392" s="25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>
      <c r="A393" s="25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>
      <c r="A394" s="25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>
      <c r="A395" s="25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>
      <c r="A396" s="25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>
      <c r="A397" s="25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>
      <c r="A398" s="25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>
      <c r="A399" s="25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>
      <c r="A400" s="25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</sheetData>
  <pageMargins left="0.7" right="0.7" top="0.75" bottom="0.75" header="0.3" footer="0.3"/>
  <pageSetup orientation="landscape" fitToWidth="1" fitToHeight="1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0"/>
  <sheetViews>
    <sheetView showGridLines="0" workbookViewId="0">
      <selection activeCell="A1" sqref="A1"/>
    </sheetView>
  </sheetViews>
  <cols>
    <col min="1" max="2" width="1.50390625" customWidth="1"/>
    <col min="3" max="3" width="44.64453125" customWidth="1"/>
    <col min="4" max="16" width="12.50390625" customWidth="1"/>
    <col min="17" max="17" width="11.359375" customWidth="1"/>
    <col min="24" max="25" width="8.43" customWidth="0" hidden="1"/>
  </cols>
  <sheetData>
    <row r="1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</row>
    <row r="2">
      <c r="A2" s="255"/>
      <c r="B2" s="255"/>
      <c r="C2" t="s" s="578">
        <v>2160</v>
      </c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</row>
    <row r="3">
      <c r="A3" s="255"/>
      <c r="B3" s="255"/>
      <c r="C3" t="s" s="279">
        <v>2161</v>
      </c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</row>
    <row r="4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</row>
    <row r="5">
      <c r="A5" s="255"/>
      <c r="B5" s="255"/>
      <c r="C5" t="s" s="579">
        <v>2162</v>
      </c>
      <c r="D5" s="579"/>
      <c r="E5" s="579"/>
      <c r="F5" s="579"/>
      <c r="G5" s="579"/>
      <c r="H5" s="579"/>
      <c r="I5" s="579"/>
      <c r="J5" s="579"/>
      <c r="K5" s="579"/>
      <c r="L5" s="579"/>
      <c r="M5" s="579"/>
      <c r="N5" s="579"/>
      <c r="O5" s="579"/>
      <c r="P5" s="579"/>
      <c r="Q5" s="579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</row>
    <row r="6">
      <c r="A6" s="255"/>
      <c r="B6" s="255"/>
      <c r="C6" s="255"/>
      <c r="D6" t="s" s="580">
        <v>2175</v>
      </c>
      <c r="E6" t="s" s="580">
        <v>2176</v>
      </c>
      <c r="F6" t="s" s="580">
        <v>897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</row>
    <row r="7">
      <c r="A7" s="255"/>
      <c r="B7" s="255"/>
      <c r="C7" t="s" s="255">
        <v>2163</v>
      </c>
      <c r="D7" s="632">
        <v>4</v>
      </c>
      <c r="E7" s="592">
        <v>24.55</v>
      </c>
      <c r="F7" s="593" cm="1">
        <f t="array" ref="F7:F7">IF(AND($E$21=$D7,$D7&gt;0),IF($E$22=1,INDEX($D$59:$D$69,$D7),INDEX($E$59:$E$69,$D7)),E7)</f>
        <v>24.55</v>
      </c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</row>
    <row r="8">
      <c r="A8" s="255"/>
      <c r="B8" s="255"/>
      <c r="C8" t="s" s="255">
        <v>1917</v>
      </c>
      <c r="D8" s="632">
        <v>3</v>
      </c>
      <c r="E8" s="594">
        <v>0</v>
      </c>
      <c r="F8" s="595" cm="1">
        <f t="array" ref="F8:F8">IF(AND($E$21=$D8,$D8&gt;0),IF($E$22=1,INDEX($D$59:$D$69,$D8),INDEX($E$59:$E$69,$D8)),E8)</f>
        <v>0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</row>
    <row r="9">
      <c r="A9" s="255"/>
      <c r="B9" s="255"/>
      <c r="C9" t="s" s="255">
        <v>1287</v>
      </c>
      <c r="D9" s="632"/>
      <c r="E9" s="596">
        <v>47848</v>
      </c>
      <c r="F9" s="597">
        <f>E9</f>
        <v>47848</v>
      </c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</row>
    <row r="10">
      <c r="A10" s="255"/>
      <c r="B10" s="255"/>
      <c r="C10" t="s" s="255">
        <v>2164</v>
      </c>
      <c r="D10" s="632"/>
      <c r="E10" s="594">
        <v>0</v>
      </c>
      <c r="F10" s="595">
        <f>E10</f>
        <v>0</v>
      </c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</row>
    <row r="11">
      <c r="A11" s="255"/>
      <c r="B11" s="255"/>
      <c r="C11" t="s" s="255">
        <v>1984</v>
      </c>
      <c r="D11" s="632">
        <v>1</v>
      </c>
      <c r="E11" s="598">
        <v>0</v>
      </c>
      <c r="F11" s="599" cm="1">
        <f t="array" ref="F11:F11">IF(AND($E$21=$D11,$D11&gt;0),IF($E$22=1,INDEX($D$59:$D$69,$D11),INDEX($E$59:$E$69,$D11)),E11)</f>
        <v>0</v>
      </c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</row>
    <row r="12">
      <c r="A12" s="255"/>
      <c r="B12" s="255"/>
      <c r="C12" t="s" s="255">
        <v>2165</v>
      </c>
      <c r="D12" s="632">
        <v>2</v>
      </c>
      <c r="E12" s="598">
        <v>0</v>
      </c>
      <c r="F12" s="599" cm="1">
        <f t="array" ref="F12:F12">IF(AND($E$21=$D12,$D12&gt;0),IF($E$22=1,INDEX($D$59:$D$69,$D12),INDEX($E$59:$E$69,$D12)),E12)</f>
        <v>0</v>
      </c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</row>
    <row r="13">
      <c r="A13" s="255"/>
      <c r="B13" s="255"/>
      <c r="C13" t="s" s="255">
        <v>2166</v>
      </c>
      <c r="D13" s="632">
        <v>5</v>
      </c>
      <c r="E13" s="600">
        <v>1</v>
      </c>
      <c r="F13" s="601" cm="1">
        <f t="array" ref="F13:F13">IF(AND($E$21=$D13,$D13&gt;0),IF($E$22=1,INDEX($D$59:$D$69,$D13),INDEX($E$59:$E$69,$D13)),E13)</f>
        <v>1</v>
      </c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>
      <c r="A14" s="255"/>
      <c r="B14" s="255"/>
      <c r="C14" t="s" s="255">
        <v>2167</v>
      </c>
      <c r="D14" s="632">
        <v>6</v>
      </c>
      <c r="E14" s="602">
        <v>0</v>
      </c>
      <c r="F14" s="603" cm="1">
        <f t="array" ref="F14:F14">IF(AND($E$21=$D14,$D14&gt;0),IF($E$22=1,INDEX($D$59:$D$69,$D14),INDEX($E$59:$E$69,$D14)),E14)</f>
        <v>0</v>
      </c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</row>
    <row r="15">
      <c r="A15" s="255"/>
      <c r="B15" s="255"/>
      <c r="C15" t="s" s="255">
        <v>1762</v>
      </c>
      <c r="D15" s="632">
        <v>7</v>
      </c>
      <c r="E15" s="604">
        <f>Model!I23</f>
        <v>1</v>
      </c>
      <c r="F15" s="605" cm="1">
        <f t="array" ref="F15:F15">IF(AND($E$21=$D15,$D15&gt;0),IF($E$22=1,INDEX($D$59:$D$69,$D15),INDEX($E$59:$E$69,$D15)),E15)</f>
        <v>1</v>
      </c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</row>
    <row r="16">
      <c r="A16" s="255"/>
      <c r="B16" s="255"/>
      <c r="C16" t="s" s="255">
        <v>2168</v>
      </c>
      <c r="D16" s="632">
        <v>8</v>
      </c>
      <c r="E16" s="598">
        <v>0</v>
      </c>
      <c r="F16" s="599" cm="1">
        <f t="array" ref="F16:F16">IF(AND($E$21=$D16,$D16&gt;0),IF($E$22=1,INDEX($D$59:$D$69,$D16),INDEX($E$59:$E$69,$D16)),E16)</f>
        <v>0</v>
      </c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</row>
    <row r="17">
      <c r="A17" s="255"/>
      <c r="B17" s="255"/>
      <c r="C17" t="s" s="255">
        <v>2169</v>
      </c>
      <c r="D17" s="632">
        <v>9</v>
      </c>
      <c r="E17" s="598">
        <v>0</v>
      </c>
      <c r="F17" s="599" cm="1">
        <f t="array" ref="F17:F17">IF(AND($E$21=$D17,$D17&gt;0),IF($E$22=1,INDEX($D$59:$D$69,$D17),INDEX($E$59:$E$69,$D17)),E17)</f>
        <v>0</v>
      </c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</row>
    <row r="18">
      <c r="A18" s="255"/>
      <c r="B18" s="255"/>
      <c r="C18" t="s" s="255">
        <v>2307</v>
      </c>
      <c r="D18" s="632">
        <v>10</v>
      </c>
      <c r="E18" s="722">
        <f>Model!I4</f>
        <v>124.142631</v>
      </c>
      <c r="F18" s="723" cm="1">
        <f t="array" ref="F18:F18">IF(AND($E$21=$D18,$D18&gt;0),IF($E$22=1,INDEX($D$59:$D$69,$D18),INDEX($E$59:$E$69,$D18)),E18)</f>
        <v>124.142631</v>
      </c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</row>
    <row r="19">
      <c r="A19" s="255"/>
      <c r="B19" s="255"/>
      <c r="C19" t="s" s="255">
        <v>2170</v>
      </c>
      <c r="D19" s="632">
        <v>11</v>
      </c>
      <c r="E19" s="606">
        <f>Model!I6</f>
        <v>75</v>
      </c>
      <c r="F19" s="607" cm="1">
        <f t="array" ref="F19:F19">IF(AND($E$21=$D19,$D19&gt;0),IF($E$22=1,INDEX($D$59:$D$69,$D19),INDEX($E$59:$E$69,$D19)),E19)</f>
        <v>75</v>
      </c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</row>
    <row r="20">
      <c r="A20" s="255"/>
      <c r="B20" s="255"/>
      <c r="C20" t="s" s="255">
        <v>2171</v>
      </c>
      <c r="D20" s="608"/>
      <c r="E20" s="591">
        <v>0</v>
      </c>
      <c r="F20" s="609">
        <f>E20</f>
        <v>0</v>
      </c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>
      <c r="A21" s="255"/>
      <c r="B21" s="255"/>
      <c r="C21" t="s" s="255">
        <v>2172</v>
      </c>
      <c r="D21" s="608"/>
      <c r="E21" s="591">
        <v>0</v>
      </c>
      <c r="F21" s="609">
        <f>E21</f>
        <v>0</v>
      </c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</row>
    <row r="22">
      <c r="A22" s="255"/>
      <c r="B22" s="255"/>
      <c r="C22" t="s" s="255">
        <v>2173</v>
      </c>
      <c r="D22" s="608"/>
      <c r="E22" s="591">
        <v>1</v>
      </c>
      <c r="F22" s="609">
        <f>E22</f>
        <v>1</v>
      </c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</row>
    <row r="23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</row>
    <row r="24">
      <c r="A24" s="255"/>
      <c r="B24" s="255"/>
      <c r="C24" t="s" s="579">
        <v>2174</v>
      </c>
      <c r="D24" s="579"/>
      <c r="E24" s="579"/>
      <c r="F24" s="579"/>
      <c r="G24" s="579"/>
      <c r="H24" s="579"/>
      <c r="I24" s="579"/>
      <c r="J24" s="579"/>
      <c r="K24" s="579"/>
      <c r="L24" s="579"/>
      <c r="M24" s="579"/>
      <c r="N24" s="579"/>
      <c r="O24" s="579"/>
      <c r="P24" s="579"/>
      <c r="Q24" s="579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</row>
    <row r="25">
      <c r="A25" s="255"/>
      <c r="B25" s="255"/>
      <c r="C25" s="255"/>
      <c r="D25" s="255"/>
      <c r="E25" t="s" s="580">
        <v>2177</v>
      </c>
      <c r="F25" t="s" s="580">
        <v>2178</v>
      </c>
      <c r="G25" t="s" s="580">
        <v>473</v>
      </c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</row>
    <row r="26">
      <c r="A26" s="255"/>
      <c r="B26" s="255"/>
      <c r="C26" t="s" s="255">
        <v>1451</v>
      </c>
      <c r="D26" s="255"/>
      <c r="E26" s="610">
        <f>Model!I204</f>
        <v>0.21071793437004088</v>
      </c>
      <c r="F26" s="611">
        <v>0.21071793437004088</v>
      </c>
      <c r="G26" s="612">
        <f>E26-F26</f>
        <v>0</v>
      </c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</row>
    <row r="27">
      <c r="A27" s="255"/>
      <c r="B27" s="255"/>
      <c r="C27" t="s" s="255">
        <v>1452</v>
      </c>
      <c r="D27" s="255"/>
      <c r="E27" s="613">
        <f>Model!I205</f>
        <v>2.3735574644539157</v>
      </c>
      <c r="F27" s="614">
        <v>2.373557464453917</v>
      </c>
      <c r="G27" s="615">
        <f>E27-F27</f>
        <v>0</v>
      </c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</row>
    <row r="28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</row>
    <row r="29">
      <c r="A29" s="255"/>
      <c r="B29" s="255"/>
      <c r="C29" t="s" s="579">
        <v>2182</v>
      </c>
      <c r="D29" s="579"/>
      <c r="E29" s="579"/>
      <c r="F29" s="579"/>
      <c r="G29" s="579"/>
      <c r="H29" s="579"/>
      <c r="I29" s="579"/>
      <c r="J29" s="579"/>
      <c r="K29" s="579"/>
      <c r="L29" s="579"/>
      <c r="M29" s="579"/>
      <c r="N29" s="579"/>
      <c r="O29" s="579"/>
      <c r="P29" s="579"/>
      <c r="Q29" s="579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</row>
    <row r="30">
      <c r="A30" s="255"/>
      <c r="B30" s="255"/>
      <c r="C30" s="255"/>
      <c r="D30" s="255"/>
      <c r="E30" t="s" s="279">
        <v>2257</v>
      </c>
      <c r="F30" t="s" s="279">
        <v>2163</v>
      </c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</row>
    <row r="31">
      <c r="A31" s="255"/>
      <c r="B31" s="255"/>
      <c r="C31" s="255"/>
      <c r="D31" t="s" s="580">
        <v>2195</v>
      </c>
      <c r="E31" s="619">
        <f>Model!I204</f>
        <v>0.21071793437004088</v>
      </c>
      <c r="F31" s="616">
        <v>22</v>
      </c>
      <c r="G31" s="616">
        <v>23.25</v>
      </c>
      <c r="H31" s="616">
        <v>24.55</v>
      </c>
      <c r="I31" s="616">
        <v>25.75</v>
      </c>
      <c r="J31" s="616">
        <v>27</v>
      </c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</row>
    <row r="32">
      <c r="A32" s="255"/>
      <c r="B32" s="255"/>
      <c r="C32" s="255"/>
      <c r="D32" s="621">
        <f>Model!$U$25+Model!$E$8+E32</f>
        <v>23.041255617597592</v>
      </c>
      <c r="E32" s="617">
        <v>-2</v>
      </c>
      <c r="F32" s="618">
        <f t="dataTable" ref="F32:J36" dt2D="1" dtr="1" r1="E7" r2="E8"/>
        <v>0.22364806532859802</v>
      </c>
      <c r="G32" s="618">
        <v>0.2037054240703583</v>
      </c>
      <c r="H32" s="618">
        <v>0.18473483920097353</v>
      </c>
      <c r="I32" s="618">
        <v>0.1685965955257416</v>
      </c>
      <c r="J32" s="618">
        <v>0.15299968123435972</v>
      </c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</row>
    <row r="33">
      <c r="A33" s="255"/>
      <c r="B33" s="255"/>
      <c r="C33" s="255"/>
      <c r="D33" s="621">
        <f>Model!$U$25+Model!$E$8+E33</f>
        <v>24.041255617597592</v>
      </c>
      <c r="E33" s="617">
        <v>-1</v>
      </c>
      <c r="F33" s="618">
        <v>0.2373224437236786</v>
      </c>
      <c r="G33" s="618">
        <v>0.21715694069862365</v>
      </c>
      <c r="H33" s="618">
        <v>0.1979743540287018</v>
      </c>
      <c r="I33" s="618">
        <v>0.1816557705402375</v>
      </c>
      <c r="J33" s="618">
        <v>0.16588456034660343</v>
      </c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</row>
    <row r="34">
      <c r="A34" s="255"/>
      <c r="B34" s="255"/>
      <c r="C34" s="255"/>
      <c r="D34" s="621">
        <f>Model!$U$25+Model!$E$8+E34</f>
        <v>25.041255617597592</v>
      </c>
      <c r="E34" s="617">
        <v>0</v>
      </c>
      <c r="F34" s="618">
        <v>0.2504845917224884</v>
      </c>
      <c r="G34" s="618">
        <v>0.23010457158088687</v>
      </c>
      <c r="H34" s="620">
        <v>0.21071793437004088</v>
      </c>
      <c r="I34" s="618">
        <v>0.1942257583141327</v>
      </c>
      <c r="J34" s="618">
        <v>0.1782867729663849</v>
      </c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</row>
    <row r="35">
      <c r="A35" s="255"/>
      <c r="B35" s="255"/>
      <c r="C35" s="255"/>
      <c r="D35" s="621">
        <f>Model!$U$25+Model!$E$8+E35</f>
        <v>26.041255617597592</v>
      </c>
      <c r="E35" s="617">
        <v>1</v>
      </c>
      <c r="F35" s="618">
        <v>0.26317632794380186</v>
      </c>
      <c r="G35" s="618">
        <v>0.24258945584297184</v>
      </c>
      <c r="H35" s="618">
        <v>0.22300605177879335</v>
      </c>
      <c r="I35" s="618">
        <v>0.2063464939594269</v>
      </c>
      <c r="J35" s="618">
        <v>0.19024574160575866</v>
      </c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</row>
    <row r="36">
      <c r="A36" s="255"/>
      <c r="B36" s="255"/>
      <c r="C36" s="255"/>
      <c r="D36" s="621">
        <f>Model!$U$25+Model!$E$8+E36</f>
        <v>27.041255617597592</v>
      </c>
      <c r="E36" s="617">
        <v>2</v>
      </c>
      <c r="F36" s="618">
        <v>0.2754343688488007</v>
      </c>
      <c r="G36" s="618">
        <v>0.2546477258205413</v>
      </c>
      <c r="H36" s="618">
        <v>0.23487429022789</v>
      </c>
      <c r="I36" s="618">
        <v>0.21805304884910579</v>
      </c>
      <c r="J36" s="618">
        <v>0.20179606080055243</v>
      </c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</row>
    <row r="37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>
      <c r="A38" s="255"/>
      <c r="B38" s="255"/>
      <c r="C38" t="s" s="579">
        <v>2183</v>
      </c>
      <c r="D38" s="579"/>
      <c r="E38" s="579"/>
      <c r="F38" s="579"/>
      <c r="G38" s="579"/>
      <c r="H38" s="579"/>
      <c r="I38" s="579"/>
      <c r="J38" s="579"/>
      <c r="K38" s="579"/>
      <c r="L38" s="579"/>
      <c r="M38" s="579"/>
      <c r="N38" s="579"/>
      <c r="O38" s="579"/>
      <c r="P38" s="579"/>
      <c r="Q38" s="579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</row>
    <row r="39">
      <c r="A39" s="255"/>
      <c r="B39" s="255"/>
      <c r="C39" s="255"/>
      <c r="D39" s="255"/>
      <c r="E39" t="s" s="279">
        <v>2258</v>
      </c>
      <c r="F39" t="s" s="279">
        <v>1287</v>
      </c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</row>
    <row r="40">
      <c r="A40" s="255"/>
      <c r="B40" s="255"/>
      <c r="C40" s="255"/>
      <c r="D40" t="s" s="580">
        <v>2196</v>
      </c>
      <c r="E40" s="619">
        <f>Model!I205</f>
        <v>2.3735574644539157</v>
      </c>
      <c r="F40" s="622">
        <v>46752</v>
      </c>
      <c r="G40" s="622">
        <v>47118</v>
      </c>
      <c r="H40" s="622">
        <v>47483</v>
      </c>
      <c r="I40" s="622">
        <v>47848</v>
      </c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</row>
    <row r="41">
      <c r="A41" s="255"/>
      <c r="B41" s="255"/>
      <c r="C41" s="255"/>
      <c r="D41" s="621">
        <f>Model!$E$17/Model!$U$20+E41</f>
        <v>8.624124472009838</v>
      </c>
      <c r="E41" s="617">
        <v>-1</v>
      </c>
      <c r="F41" s="623">
        <f t="dataTable" ref="F41:I45" dt2D="1" dtr="1" r1="E9" r2="E10"/>
        <v>1.4872179108976442</v>
      </c>
      <c r="G41" s="623">
        <v>1.7636920905645497</v>
      </c>
      <c r="H41" s="623">
        <v>2.038833492995519</v>
      </c>
      <c r="I41" s="623">
        <v>2.3332800538613503</v>
      </c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</row>
    <row r="42">
      <c r="A42" s="255"/>
      <c r="B42" s="255"/>
      <c r="C42" s="255"/>
      <c r="D42" s="621">
        <f>Model!$E$17/Model!$U$20+E42</f>
        <v>9.124124472009838</v>
      </c>
      <c r="E42" s="617">
        <v>-0.5</v>
      </c>
      <c r="F42" s="623">
        <v>1.495037120119171</v>
      </c>
      <c r="G42" s="623">
        <v>1.775761418485925</v>
      </c>
      <c r="H42" s="623">
        <v>2.054977420119167</v>
      </c>
      <c r="I42" s="623">
        <v>2.3537589792658564</v>
      </c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</row>
    <row r="43">
      <c r="A43" s="255"/>
      <c r="B43" s="255"/>
      <c r="C43" s="255"/>
      <c r="D43" s="621">
        <f>Model!$E$17/Model!$U$20+E43</f>
        <v>9.624124472009838</v>
      </c>
      <c r="E43" s="617">
        <v>0</v>
      </c>
      <c r="F43" s="623">
        <v>1.5019168837360741</v>
      </c>
      <c r="G43" s="623">
        <v>1.7869868767600285</v>
      </c>
      <c r="H43" s="623">
        <v>2.0703576126517893</v>
      </c>
      <c r="I43" s="624">
        <v>2.3735574644539166</v>
      </c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</row>
    <row r="44">
      <c r="A44" s="255"/>
      <c r="B44" s="255"/>
      <c r="C44" s="255"/>
      <c r="D44" s="621">
        <f>Model!$E$17/Model!$U$20+E44</f>
        <v>10.124124472009838</v>
      </c>
      <c r="E44" s="617">
        <v>0.5</v>
      </c>
      <c r="F44" s="623">
        <v>1.510410859869646</v>
      </c>
      <c r="G44" s="623">
        <v>1.8000693800793317</v>
      </c>
      <c r="H44" s="623">
        <v>2.0879045542157764</v>
      </c>
      <c r="I44" s="623">
        <v>2.395853900264769</v>
      </c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</row>
    <row r="45">
      <c r="A45" s="255"/>
      <c r="B45" s="255"/>
      <c r="C45" s="255"/>
      <c r="D45" s="621">
        <f>Model!$E$17/Model!$U$20+E45</f>
        <v>10.624124472009838</v>
      </c>
      <c r="E45" s="617">
        <v>1</v>
      </c>
      <c r="F45" s="623">
        <v>1.5193278152669096</v>
      </c>
      <c r="G45" s="623">
        <v>1.8123581178875203</v>
      </c>
      <c r="H45" s="623">
        <v>2.104764887449582</v>
      </c>
      <c r="I45" s="623">
        <v>2.417575716848658</v>
      </c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</row>
    <row r="46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</row>
    <row r="47">
      <c r="A47" s="255"/>
      <c r="B47" s="255"/>
      <c r="C47" t="s" s="579">
        <v>2184</v>
      </c>
      <c r="D47" s="579"/>
      <c r="E47" s="579"/>
      <c r="F47" s="579"/>
      <c r="G47" s="579"/>
      <c r="H47" s="579"/>
      <c r="I47" s="579"/>
      <c r="J47" s="579"/>
      <c r="K47" s="579"/>
      <c r="L47" s="579"/>
      <c r="M47" s="579"/>
      <c r="N47" s="579"/>
      <c r="O47" s="579"/>
      <c r="P47" s="579"/>
      <c r="Q47" s="579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</row>
    <row r="48">
      <c r="A48" s="255"/>
      <c r="B48" s="255"/>
      <c r="C48" s="255"/>
      <c r="D48" s="255"/>
      <c r="E48" t="s" s="279">
        <v>2259</v>
      </c>
      <c r="F48" t="s" s="279">
        <v>2001</v>
      </c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</row>
    <row r="49">
      <c r="A49" s="255"/>
      <c r="B49" s="255"/>
      <c r="C49" s="255"/>
      <c r="D49" t="s" s="580">
        <v>2197</v>
      </c>
      <c r="E49" s="619">
        <f>Model!I204</f>
        <v>0.21071793437004088</v>
      </c>
      <c r="F49" s="625">
        <v>-4</v>
      </c>
      <c r="G49" s="625">
        <v>-2</v>
      </c>
      <c r="H49" s="625">
        <v>0</v>
      </c>
      <c r="I49" s="625">
        <v>2</v>
      </c>
      <c r="J49" s="625">
        <v>4</v>
      </c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</row>
    <row r="50">
      <c r="A50" s="255"/>
      <c r="B50" s="255"/>
      <c r="C50" s="255"/>
      <c r="D50" s="612">
        <f>AVERAGE('Driver Assumptions'!$G$8:$J$8)+Model!$E$13+E50/100</f>
        <v>0.08119371474853901</v>
      </c>
      <c r="E50" s="626">
        <v>-4</v>
      </c>
      <c r="F50" s="618">
        <f t="dataTable" ref="F50:J54" dt2D="1" dtr="1" r1="E12" r2="E11"/>
        <v>0.09781569838523865</v>
      </c>
      <c r="G50" s="618">
        <v>0.1187544286251068</v>
      </c>
      <c r="H50" s="618">
        <v>0.13841753602027895</v>
      </c>
      <c r="I50" s="618">
        <v>0.15673994421958928</v>
      </c>
      <c r="J50" s="618">
        <v>0.1742910921573639</v>
      </c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</row>
    <row r="51">
      <c r="A51" s="255"/>
      <c r="B51" s="255"/>
      <c r="C51" s="255"/>
      <c r="D51" s="612">
        <f>AVERAGE('Driver Assumptions'!$G$8:$J$8)+Model!$E$13+E51/100</f>
        <v>0.10119371474853901</v>
      </c>
      <c r="E51" s="626">
        <v>-2</v>
      </c>
      <c r="F51" s="618">
        <v>0.13515672087669375</v>
      </c>
      <c r="G51" s="618">
        <v>0.15577445626258854</v>
      </c>
      <c r="H51" s="618">
        <v>0.1749712646007538</v>
      </c>
      <c r="I51" s="618">
        <v>0.19310985207557682</v>
      </c>
      <c r="J51" s="618">
        <v>0.21051271557807927</v>
      </c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</row>
    <row r="52">
      <c r="A52" s="255"/>
      <c r="B52" s="255"/>
      <c r="C52" s="255"/>
      <c r="D52" s="612">
        <f>AVERAGE('Driver Assumptions'!$G$8:$J$8)+Model!$E$13+E52/100</f>
        <v>0.12119371474853902</v>
      </c>
      <c r="E52" s="626">
        <v>0</v>
      </c>
      <c r="F52" s="618">
        <v>0.1712779700756073</v>
      </c>
      <c r="G52" s="618">
        <v>0.1916639983654022</v>
      </c>
      <c r="H52" s="620">
        <v>0.21071793437004088</v>
      </c>
      <c r="I52" s="618">
        <v>0.22893760800361637</v>
      </c>
      <c r="J52" s="618">
        <v>0.24608371853828434</v>
      </c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</row>
    <row r="53">
      <c r="A53" s="255"/>
      <c r="B53" s="255"/>
      <c r="C53" s="255"/>
      <c r="D53" s="612">
        <f>AVERAGE('Driver Assumptions'!$G$8:$J$8)+Model!$E$13+E53/100</f>
        <v>0.141193714748539</v>
      </c>
      <c r="E53" s="626">
        <v>2</v>
      </c>
      <c r="F53" s="618">
        <v>0.20676621794700625</v>
      </c>
      <c r="G53" s="618">
        <v>0.22685000300407412</v>
      </c>
      <c r="H53" s="618">
        <v>0.24582349658012387</v>
      </c>
      <c r="I53" s="618">
        <v>0.2639909207820892</v>
      </c>
      <c r="J53" s="618">
        <v>0.2811383545398711</v>
      </c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</row>
    <row r="54">
      <c r="A54" s="255"/>
      <c r="B54" s="255"/>
      <c r="C54" s="255"/>
      <c r="D54" s="612">
        <f>AVERAGE('Driver Assumptions'!$G$8:$J$8)+Model!$E$13+E54/100</f>
        <v>0.16119371474853902</v>
      </c>
      <c r="E54" s="626">
        <v>4</v>
      </c>
      <c r="F54" s="618">
        <v>0.2414117634296417</v>
      </c>
      <c r="G54" s="618">
        <v>0.26144781708717346</v>
      </c>
      <c r="H54" s="618">
        <v>0.2804097950458526</v>
      </c>
      <c r="I54" s="618">
        <v>0.29857671856880186</v>
      </c>
      <c r="J54" s="618">
        <v>0.3157592594623566</v>
      </c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</row>
    <row r="55">
      <c r="A55" s="255"/>
      <c r="B55" s="255"/>
      <c r="C55" t="s" s="279">
        <v>2185</v>
      </c>
      <c r="D55" s="255"/>
      <c r="E55" s="255"/>
      <c r="F55" s="627">
        <f>'Driver Assumptions'!$J$14+Model!$I$13+F49/100</f>
        <v>0.3476230613040034</v>
      </c>
      <c r="G55" s="627">
        <f>'Driver Assumptions'!$J$14+Model!$I$13+G49/100</f>
        <v>0.36762306130400335</v>
      </c>
      <c r="H55" s="627">
        <f>'Driver Assumptions'!$J$14+Model!$I$13+H49/100</f>
        <v>0.38762306130400337</v>
      </c>
      <c r="I55" s="627">
        <f>'Driver Assumptions'!$J$14+Model!$I$13+I49/100</f>
        <v>0.4076230613040034</v>
      </c>
      <c r="J55" s="627">
        <f>'Driver Assumptions'!$J$14+Model!$I$13+J49/100</f>
        <v>0.42762306130400335</v>
      </c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</row>
    <row r="56">
      <c r="A56" s="255"/>
      <c r="B56" s="255"/>
      <c r="C56" t="s" s="579">
        <v>2186</v>
      </c>
      <c r="D56" s="579"/>
      <c r="E56" s="579"/>
      <c r="F56" s="579"/>
      <c r="G56" s="579"/>
      <c r="H56" s="579"/>
      <c r="I56" s="579"/>
      <c r="J56" s="579"/>
      <c r="K56" s="579"/>
      <c r="L56" s="579"/>
      <c r="M56" s="579"/>
      <c r="N56" s="579"/>
      <c r="O56" s="579"/>
      <c r="P56" s="579"/>
      <c r="Q56" s="579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</row>
    <row r="57">
      <c r="A57" s="255"/>
      <c r="B57" s="255"/>
      <c r="C57" t="s" s="292">
        <v>2</v>
      </c>
      <c r="D57" t="s" s="580">
        <v>2198</v>
      </c>
      <c r="E57" t="s" s="580">
        <v>2201</v>
      </c>
      <c r="F57" s="580"/>
      <c r="G57" t="s" s="580">
        <v>2203</v>
      </c>
      <c r="H57" s="580"/>
      <c r="I57" t="s" s="580">
        <v>2205</v>
      </c>
      <c r="J57" s="255"/>
      <c r="K57" s="255"/>
      <c r="L57" s="255"/>
      <c r="M57" s="255"/>
      <c r="N57" s="255"/>
      <c r="O57" s="255"/>
      <c r="P57" s="255"/>
      <c r="Q57" t="s" s="581">
        <v>2207</v>
      </c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</row>
    <row r="58">
      <c r="A58" s="255"/>
      <c r="B58" s="255"/>
      <c r="C58" s="255"/>
      <c r="D58" s="255"/>
      <c r="E58" s="255"/>
      <c r="F58" s="619">
        <f>Model!I204</f>
        <v>0.21071793437004088</v>
      </c>
      <c r="G58" s="630">
        <v>1</v>
      </c>
      <c r="H58" s="631">
        <v>2</v>
      </c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t="s" s="633">
        <v>2264</v>
      </c>
      <c r="Y58" t="s" s="633">
        <v>2265</v>
      </c>
      <c r="Z58" t="s" s="255">
        <v>2266</v>
      </c>
      <c r="AA58" s="255"/>
      <c r="AB58" s="255"/>
      <c r="AC58" s="255"/>
      <c r="AD58" s="255"/>
      <c r="AE58" s="255"/>
      <c r="AF58" s="255"/>
    </row>
    <row r="59">
      <c r="A59" s="255"/>
      <c r="B59" s="255"/>
      <c r="C59" t="s" s="255">
        <v>2187</v>
      </c>
      <c r="D59" s="587">
        <v>-2</v>
      </c>
      <c r="E59" s="587">
        <v>2</v>
      </c>
      <c r="F59" s="632">
        <v>1</v>
      </c>
      <c r="G59" s="618">
        <f t="dataTable" ref="G59:H69" dt2D="1" dtr="1" r1="E22" r2="E21"/>
        <v>0.1749712646007538</v>
      </c>
      <c r="H59" s="618">
        <v>0.24582349658012387</v>
      </c>
      <c r="I59" s="612">
        <f>ABS(H59-G59)</f>
        <v>0.07085223197937007</v>
      </c>
      <c r="J59" s="255"/>
      <c r="K59" s="255"/>
      <c r="L59" s="255"/>
      <c r="M59" s="255"/>
      <c r="N59" s="255"/>
      <c r="O59" s="255"/>
      <c r="P59" s="255"/>
      <c r="Q59" t="s" s="635">
        <v>2208</v>
      </c>
      <c r="R59" s="255"/>
      <c r="S59" s="255"/>
      <c r="T59" s="255"/>
      <c r="U59" s="255"/>
      <c r="V59" s="255"/>
      <c r="W59" s="255"/>
      <c r="X59" s="660">
        <f>I59+F59/1000000000</f>
        <v>0.07085223297937007</v>
      </c>
      <c r="Y59" t="s" s="634">
        <v>2220</v>
      </c>
      <c r="Z59" t="s" s="255">
        <v>2267</v>
      </c>
      <c r="AA59" s="255"/>
      <c r="AB59" s="255"/>
      <c r="AC59" s="255"/>
      <c r="AD59" s="255"/>
      <c r="AE59" s="255"/>
      <c r="AF59" s="255"/>
    </row>
    <row r="60">
      <c r="A60" s="255"/>
      <c r="B60" s="255"/>
      <c r="C60" t="s" s="255">
        <v>2188</v>
      </c>
      <c r="D60" s="587">
        <v>-2</v>
      </c>
      <c r="E60" s="587">
        <v>2</v>
      </c>
      <c r="F60" s="632">
        <v>2</v>
      </c>
      <c r="G60" s="618">
        <v>0.1916639983654022</v>
      </c>
      <c r="H60" s="618">
        <v>0.22893760800361637</v>
      </c>
      <c r="I60" s="612">
        <f>ABS(H60-G60)</f>
        <v>0.03727360963821416</v>
      </c>
      <c r="J60" s="255"/>
      <c r="K60" s="255"/>
      <c r="L60" s="255"/>
      <c r="M60" s="255"/>
      <c r="N60" s="255"/>
      <c r="O60" s="255"/>
      <c r="P60" s="255"/>
      <c r="Q60" t="s" s="635">
        <v>2209</v>
      </c>
      <c r="R60" s="255"/>
      <c r="S60" s="255"/>
      <c r="T60" s="255"/>
      <c r="U60" s="255"/>
      <c r="V60" s="255"/>
      <c r="W60" s="255"/>
      <c r="X60" s="660">
        <f>I60+F60/1000000000</f>
        <v>0.03727361163821416</v>
      </c>
      <c r="Y60" t="s" s="634">
        <v>2220</v>
      </c>
      <c r="Z60" t="s" s="255">
        <v>2268</v>
      </c>
      <c r="AA60" s="255"/>
      <c r="AB60" s="255"/>
      <c r="AC60" s="255"/>
      <c r="AD60" s="255"/>
      <c r="AE60" s="255"/>
      <c r="AF60" s="255"/>
    </row>
    <row r="61">
      <c r="A61" s="255"/>
      <c r="B61" s="255"/>
      <c r="C61" t="s" s="255">
        <v>2189</v>
      </c>
      <c r="D61" s="586">
        <v>-2</v>
      </c>
      <c r="E61" s="586">
        <v>2</v>
      </c>
      <c r="F61" s="632">
        <v>3</v>
      </c>
      <c r="G61" s="618">
        <v>0.18473483920097353</v>
      </c>
      <c r="H61" s="618">
        <v>0.23487429022789</v>
      </c>
      <c r="I61" s="612">
        <f>ABS(H61-G61)</f>
        <v>0.05013945102691647</v>
      </c>
      <c r="J61" s="255"/>
      <c r="K61" s="255"/>
      <c r="L61" s="255"/>
      <c r="M61" s="255"/>
      <c r="N61" s="255"/>
      <c r="O61" s="255"/>
      <c r="P61" s="255"/>
      <c r="Q61" t="s" s="635">
        <v>2210</v>
      </c>
      <c r="R61" s="255"/>
      <c r="S61" s="255"/>
      <c r="T61" s="255"/>
      <c r="U61" s="255"/>
      <c r="V61" s="255"/>
      <c r="W61" s="255"/>
      <c r="X61" s="660">
        <f>I61+F61/1000000000</f>
        <v>0.05013945402691647</v>
      </c>
      <c r="Y61" t="s" s="634">
        <v>2221</v>
      </c>
      <c r="Z61" t="s" s="255">
        <v>2269</v>
      </c>
      <c r="AA61" s="255"/>
      <c r="AB61" s="255"/>
      <c r="AC61" s="255"/>
      <c r="AD61" s="255"/>
      <c r="AE61" s="255"/>
      <c r="AF61" s="255"/>
    </row>
    <row r="62">
      <c r="A62" s="255"/>
      <c r="B62" s="255"/>
      <c r="C62" t="s" s="255">
        <v>2163</v>
      </c>
      <c r="D62" s="585">
        <v>23.55</v>
      </c>
      <c r="E62" s="585">
        <v>25.55</v>
      </c>
      <c r="F62" s="632">
        <v>4</v>
      </c>
      <c r="G62" s="618">
        <v>0.22547767758369447</v>
      </c>
      <c r="H62" s="618">
        <v>0.19688904881477357</v>
      </c>
      <c r="I62" s="612">
        <f>ABS(H62-G62)</f>
        <v>0.028588628768920904</v>
      </c>
      <c r="J62" s="255"/>
      <c r="K62" s="255"/>
      <c r="L62" s="255"/>
      <c r="M62" s="255"/>
      <c r="N62" s="255"/>
      <c r="O62" s="255"/>
      <c r="P62" s="255"/>
      <c r="Q62" t="s" s="635">
        <v>2211</v>
      </c>
      <c r="R62" s="255"/>
      <c r="S62" s="255"/>
      <c r="T62" s="255"/>
      <c r="U62" s="255"/>
      <c r="V62" s="255"/>
      <c r="W62" s="255"/>
      <c r="X62" s="660">
        <f>I62+F62/1000000000</f>
        <v>0.028588632768920905</v>
      </c>
      <c r="Y62" t="s" s="634">
        <v>2222</v>
      </c>
      <c r="Z62" t="s" s="255">
        <v>2270</v>
      </c>
      <c r="AA62" s="255"/>
      <c r="AB62" s="255"/>
      <c r="AC62" s="255"/>
      <c r="AD62" s="255"/>
      <c r="AE62" s="255"/>
      <c r="AF62" s="255"/>
    </row>
    <row r="63">
      <c r="A63" s="255"/>
      <c r="B63" s="255"/>
      <c r="C63" t="s" s="255">
        <v>2166</v>
      </c>
      <c r="D63" s="588">
        <v>0.5</v>
      </c>
      <c r="E63" s="588">
        <v>1</v>
      </c>
      <c r="F63" s="632">
        <v>5</v>
      </c>
      <c r="G63" s="618">
        <v>0.21787521243095395</v>
      </c>
      <c r="H63" s="618">
        <v>0.21071793437004088</v>
      </c>
      <c r="I63" s="612">
        <f>ABS(H63-G63)</f>
        <v>0.007157278060913069</v>
      </c>
      <c r="J63" s="255"/>
      <c r="K63" s="255"/>
      <c r="L63" s="255"/>
      <c r="M63" s="255"/>
      <c r="N63" s="255"/>
      <c r="O63" s="255"/>
      <c r="P63" s="255"/>
      <c r="Q63" t="s" s="635">
        <v>2359</v>
      </c>
      <c r="R63" s="255"/>
      <c r="S63" s="255"/>
      <c r="T63" s="255"/>
      <c r="U63" s="255"/>
      <c r="V63" s="255"/>
      <c r="W63" s="255"/>
      <c r="X63" s="660">
        <f>I63+F63/1000000000</f>
        <v>0.007157283060913069</v>
      </c>
      <c r="Y63" t="s" s="634">
        <v>2226</v>
      </c>
      <c r="Z63" t="s" s="255">
        <v>2271</v>
      </c>
      <c r="AA63" s="255"/>
      <c r="AB63" s="255"/>
      <c r="AC63" s="255"/>
      <c r="AD63" s="255"/>
      <c r="AE63" s="255"/>
      <c r="AF63" s="255"/>
    </row>
    <row r="64">
      <c r="A64" s="255"/>
      <c r="B64" s="255"/>
      <c r="C64" t="s" s="255">
        <v>2190</v>
      </c>
      <c r="D64" s="589">
        <v>-100</v>
      </c>
      <c r="E64" s="589">
        <v>100</v>
      </c>
      <c r="F64" s="632">
        <v>6</v>
      </c>
      <c r="G64" s="618">
        <v>0.21337559819221502</v>
      </c>
      <c r="H64" s="618">
        <v>0.2078997194766998</v>
      </c>
      <c r="I64" s="612">
        <f>ABS(H64-G64)</f>
        <v>0.00547587871551522</v>
      </c>
      <c r="J64" s="255"/>
      <c r="K64" s="255"/>
      <c r="L64" s="255"/>
      <c r="M64" s="255"/>
      <c r="N64" s="255"/>
      <c r="O64" s="255"/>
      <c r="P64" s="255"/>
      <c r="Q64" t="s" s="635">
        <v>2213</v>
      </c>
      <c r="R64" s="255"/>
      <c r="S64" s="255"/>
      <c r="T64" s="255"/>
      <c r="U64" s="255"/>
      <c r="V64" s="255"/>
      <c r="W64" s="255"/>
      <c r="X64" s="660">
        <f>I64+F64/1000000000</f>
        <v>0.00547588471551522</v>
      </c>
      <c r="Y64" t="s" s="634">
        <v>2223</v>
      </c>
      <c r="Z64" t="s" s="255">
        <v>2272</v>
      </c>
      <c r="AA64" s="255"/>
      <c r="AB64" s="255"/>
      <c r="AC64" s="255"/>
      <c r="AD64" s="255"/>
      <c r="AE64" s="255"/>
      <c r="AF64" s="255"/>
    </row>
    <row r="65">
      <c r="A65" s="255"/>
      <c r="B65" s="255"/>
      <c r="C65" t="s" s="255">
        <v>2148</v>
      </c>
      <c r="D65" s="628">
        <v>0</v>
      </c>
      <c r="E65" s="628">
        <v>1</v>
      </c>
      <c r="F65" s="632">
        <v>7</v>
      </c>
      <c r="G65" s="618">
        <v>0.21108040213584903</v>
      </c>
      <c r="H65" s="618">
        <v>0.21071793437004088</v>
      </c>
      <c r="I65" s="612">
        <f>ABS(H65-G65)</f>
        <v>0.0003624677658081443</v>
      </c>
      <c r="J65" s="255"/>
      <c r="K65" s="255"/>
      <c r="L65" s="255"/>
      <c r="M65" s="255"/>
      <c r="N65" s="255"/>
      <c r="O65" s="255"/>
      <c r="P65" s="255"/>
      <c r="Q65" t="s" s="635">
        <v>2214</v>
      </c>
      <c r="R65" s="255"/>
      <c r="S65" s="255"/>
      <c r="T65" s="255"/>
      <c r="U65" s="255"/>
      <c r="V65" s="255"/>
      <c r="W65" s="255"/>
      <c r="X65" s="660">
        <f>I65+F65/1000000000</f>
        <v>0.00036247476580814433</v>
      </c>
      <c r="Y65" t="s" s="634">
        <v>2224</v>
      </c>
      <c r="Z65" t="s" s="255">
        <v>2273</v>
      </c>
      <c r="AA65" s="255"/>
      <c r="AB65" s="255"/>
      <c r="AC65" s="255"/>
      <c r="AD65" s="255"/>
      <c r="AE65" s="255"/>
      <c r="AF65" s="255"/>
    </row>
    <row r="66">
      <c r="A66" s="255"/>
      <c r="B66" s="255"/>
      <c r="C66" t="s" s="255">
        <v>2191</v>
      </c>
      <c r="D66" s="587">
        <v>-0.5</v>
      </c>
      <c r="E66" s="587">
        <v>0.9</v>
      </c>
      <c r="F66" s="632">
        <v>8</v>
      </c>
      <c r="G66" s="618">
        <v>0.21133117079734806</v>
      </c>
      <c r="H66" s="618">
        <v>0.2096113383769989</v>
      </c>
      <c r="I66" s="612">
        <f>ABS(H66-G66)</f>
        <v>0.0017198324203491488</v>
      </c>
      <c r="J66" s="255"/>
      <c r="K66" s="255"/>
      <c r="L66" s="255"/>
      <c r="M66" s="255"/>
      <c r="N66" s="255"/>
      <c r="O66" s="255"/>
      <c r="P66" s="255"/>
      <c r="Q66" t="s" s="635">
        <v>2215</v>
      </c>
      <c r="R66" s="255"/>
      <c r="S66" s="255"/>
      <c r="T66" s="255"/>
      <c r="U66" s="255"/>
      <c r="V66" s="255"/>
      <c r="W66" s="255"/>
      <c r="X66" s="660">
        <f>I66+F66/1000000000</f>
        <v>0.0017198404203491488</v>
      </c>
      <c r="Y66" t="s" s="634">
        <v>2220</v>
      </c>
      <c r="Z66" t="s" s="255">
        <v>2274</v>
      </c>
      <c r="AA66" s="255"/>
      <c r="AB66" s="255"/>
      <c r="AC66" s="255"/>
      <c r="AD66" s="255"/>
      <c r="AE66" s="255"/>
      <c r="AF66" s="255"/>
    </row>
    <row r="67">
      <c r="A67" s="255"/>
      <c r="B67" s="255"/>
      <c r="C67" t="s" s="255">
        <v>2192</v>
      </c>
      <c r="D67" s="587">
        <v>-0.7</v>
      </c>
      <c r="E67" s="587">
        <v>0.7</v>
      </c>
      <c r="F67" s="632">
        <v>9</v>
      </c>
      <c r="G67" s="618">
        <v>0.21162016987800597</v>
      </c>
      <c r="H67" s="618">
        <v>0.2098133146762848</v>
      </c>
      <c r="I67" s="612">
        <f>ABS(H67-G67)</f>
        <v>0.0018068552017211637</v>
      </c>
      <c r="J67" s="255"/>
      <c r="K67" s="255"/>
      <c r="L67" s="255"/>
      <c r="M67" s="255"/>
      <c r="N67" s="255"/>
      <c r="O67" s="255"/>
      <c r="P67" s="255"/>
      <c r="Q67" t="s" s="635">
        <v>2216</v>
      </c>
      <c r="R67" s="255"/>
      <c r="S67" s="255"/>
      <c r="T67" s="255"/>
      <c r="U67" s="255"/>
      <c r="V67" s="255"/>
      <c r="W67" s="255"/>
      <c r="X67" s="660">
        <f>I67+F67/1000000000</f>
        <v>0.0018068642017211637</v>
      </c>
      <c r="Y67" t="s" s="634">
        <v>2220</v>
      </c>
      <c r="Z67" t="s" s="255">
        <v>2275</v>
      </c>
      <c r="AA67" s="255"/>
      <c r="AB67" s="255"/>
      <c r="AC67" s="255"/>
      <c r="AD67" s="255"/>
      <c r="AE67" s="255"/>
      <c r="AF67" s="255"/>
    </row>
    <row r="68">
      <c r="A68" s="255"/>
      <c r="B68" s="255"/>
      <c r="C68" t="s" s="255">
        <v>2307</v>
      </c>
      <c r="D68" s="629">
        <v>100</v>
      </c>
      <c r="E68" s="629">
        <v>150</v>
      </c>
      <c r="F68" s="632">
        <v>10</v>
      </c>
      <c r="G68" s="618">
        <v>0.21184790730476383</v>
      </c>
      <c r="H68" s="618">
        <v>0.20951412320137025</v>
      </c>
      <c r="I68" s="612">
        <f>ABS(H68-G68)</f>
        <v>0.002333784103393577</v>
      </c>
      <c r="J68" s="255"/>
      <c r="K68" s="255"/>
      <c r="L68" s="255"/>
      <c r="M68" s="255"/>
      <c r="N68" s="255"/>
      <c r="O68" s="255"/>
      <c r="P68" s="255"/>
      <c r="Q68" t="s" s="635">
        <v>2336</v>
      </c>
      <c r="R68" s="255"/>
      <c r="S68" s="255"/>
      <c r="T68" s="255"/>
      <c r="U68" s="255"/>
      <c r="V68" s="255"/>
      <c r="W68" s="255"/>
      <c r="X68" s="660">
        <f>I68+F68/1000000000</f>
        <v>0.002333794103393577</v>
      </c>
      <c r="Y68" t="s" s="634">
        <v>2225</v>
      </c>
      <c r="Z68" t="s" s="255">
        <v>2337</v>
      </c>
      <c r="AA68" s="255"/>
      <c r="AB68" s="255"/>
      <c r="AC68" s="255"/>
      <c r="AD68" s="255"/>
      <c r="AE68" s="255"/>
      <c r="AF68" s="255"/>
    </row>
    <row r="69">
      <c r="A69" s="255"/>
      <c r="B69" s="255"/>
      <c r="C69" t="s" s="255">
        <v>2170</v>
      </c>
      <c r="D69" s="629">
        <v>50</v>
      </c>
      <c r="E69" s="629">
        <v>150</v>
      </c>
      <c r="F69" s="632">
        <v>11</v>
      </c>
      <c r="G69" s="618">
        <v>0.21130159497261053</v>
      </c>
      <c r="H69" s="618">
        <v>0.20899127125740052</v>
      </c>
      <c r="I69" s="612">
        <f>ABS(H69-G69)</f>
        <v>0.0023103237152100053</v>
      </c>
      <c r="J69" s="255"/>
      <c r="K69" s="255"/>
      <c r="L69" s="255"/>
      <c r="M69" s="255"/>
      <c r="N69" s="255"/>
      <c r="O69" s="255"/>
      <c r="P69" s="255"/>
      <c r="Q69" t="s" s="635">
        <v>2218</v>
      </c>
      <c r="R69" s="255"/>
      <c r="S69" s="255"/>
      <c r="T69" s="255"/>
      <c r="U69" s="255"/>
      <c r="V69" s="255"/>
      <c r="W69" s="255"/>
      <c r="X69" s="660">
        <f>I69+F69/1000000000</f>
        <v>0.002310334715210005</v>
      </c>
      <c r="Y69" t="s" s="634">
        <v>2225</v>
      </c>
      <c r="Z69" t="s" s="255">
        <v>2277</v>
      </c>
      <c r="AA69" s="255"/>
      <c r="AB69" s="255"/>
      <c r="AC69" s="255"/>
      <c r="AD69" s="255"/>
      <c r="AE69" s="255"/>
      <c r="AF69" s="255"/>
    </row>
    <row r="70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633"/>
      <c r="Y70" s="633"/>
      <c r="Z70" s="255"/>
      <c r="AA70" s="255"/>
      <c r="AB70" s="255"/>
      <c r="AC70" s="255"/>
      <c r="AD70" s="255"/>
      <c r="AE70" s="255"/>
      <c r="AF70" s="255"/>
    </row>
    <row r="71">
      <c r="A71" s="255"/>
      <c r="B71" s="255"/>
      <c r="C71" t="s" s="579">
        <v>2193</v>
      </c>
      <c r="D71" s="579"/>
      <c r="E71" s="579"/>
      <c r="F71" s="579"/>
      <c r="G71" s="579"/>
      <c r="H71" s="579"/>
      <c r="I71" s="579"/>
      <c r="J71" s="579"/>
      <c r="K71" s="579"/>
      <c r="L71" s="579"/>
      <c r="M71" s="579"/>
      <c r="N71" s="579"/>
      <c r="O71" s="579"/>
      <c r="P71" s="579"/>
      <c r="Q71" s="579"/>
      <c r="R71" s="255"/>
      <c r="S71" s="255"/>
      <c r="T71" s="255"/>
      <c r="U71" s="255"/>
      <c r="V71" s="255"/>
      <c r="W71" s="255"/>
      <c r="X71" s="633"/>
      <c r="Y71" s="633"/>
      <c r="Z71" s="255"/>
      <c r="AA71" s="255"/>
      <c r="AB71" s="255"/>
      <c r="AC71" s="255"/>
      <c r="AD71" s="255"/>
      <c r="AE71" s="255"/>
      <c r="AF71" s="255"/>
    </row>
    <row r="72">
      <c r="A72" s="255"/>
      <c r="B72" s="255"/>
      <c r="C72" t="s" s="292">
        <v>2</v>
      </c>
      <c r="D72" t="s" s="580">
        <v>2198</v>
      </c>
      <c r="E72" t="s" s="580">
        <v>2201</v>
      </c>
      <c r="F72" t="s" s="580">
        <v>2202</v>
      </c>
      <c r="G72" t="s" s="580">
        <v>2204</v>
      </c>
      <c r="H72" t="s" s="580">
        <v>2205</v>
      </c>
      <c r="I72" t="s" s="580">
        <v>2206</v>
      </c>
      <c r="J72" t="s" s="580">
        <v>2219</v>
      </c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633"/>
      <c r="Y72" s="633"/>
      <c r="Z72" s="255"/>
      <c r="AA72" s="255"/>
      <c r="AB72" s="255"/>
      <c r="AC72" s="255"/>
      <c r="AD72" s="255"/>
      <c r="AE72" s="255"/>
      <c r="AF72" s="255"/>
    </row>
    <row r="73">
      <c r="A73" s="255"/>
      <c r="B73" s="255"/>
      <c r="C73" t="str" s="255" cm="1">
        <f t="array" ref="C73:C73">INDEX($C$59:$C$69,$X73)</f>
        <v>Organic revenue growth (pp, all years)</v>
      </c>
      <c r="D73" t="str" s="608">
        <f>TEXT(INDEX($D$59:$D$69,$X73),INDEX($Y$59:$Y$69,$X73))</f>
        <v>(2.0pp)</v>
      </c>
      <c r="E73" t="str" s="608">
        <f>TEXT(INDEX($E$59:$E$69,$X73),INDEX($Y$59:$Y$69,$X73))</f>
        <v>+2.0pp</v>
      </c>
      <c r="F73" s="612" cm="1">
        <f t="array" ref="F73:F73">INDEX($G$59:$G$69,$X73)</f>
        <v>0.1749712646007538</v>
      </c>
      <c r="G73" s="612" cm="1">
        <f t="array" ref="G73:G73">INDEX($H$59:$H$69,$X73)</f>
        <v>0.24582349658012387</v>
      </c>
      <c r="H73" s="612" cm="1">
        <f t="array" ref="H73:H73">INDEX($I$59:$I$69,$X73)</f>
        <v>0.07283973693847653</v>
      </c>
      <c r="I73" s="636">
        <f>F73-$F$58</f>
        <v>-0.03574666976928709</v>
      </c>
      <c r="J73" s="636">
        <f>G73-$F$58</f>
        <v>0.035105562210082986</v>
      </c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633">
        <f>MATCH(LARGE($X$59:$X$69,ROWS($C$73:C73)),$X$59:$X$69,0)</f>
        <v>1</v>
      </c>
      <c r="Y73" s="633"/>
      <c r="Z73" t="str" s="255" cm="1">
        <f t="array" ref="Z73:Z73">INDEX($Z$59:$Z$69,$X73)</f>
        <v>Revenue growth ±2pp</v>
      </c>
      <c r="AA73" s="255"/>
      <c r="AB73" s="255"/>
      <c r="AC73" s="255"/>
      <c r="AD73" s="255"/>
      <c r="AE73" s="255"/>
      <c r="AF73" s="255"/>
    </row>
    <row r="74">
      <c r="A74" s="255"/>
      <c r="B74" s="255"/>
      <c r="C74" t="str" s="255" cm="1">
        <f t="array" ref="C74:C74">INDEX($C$59:$C$69,$X74)</f>
        <v>Exit multiple vs. entry (turns)</v>
      </c>
      <c r="D74" t="str" s="608">
        <f>TEXT(INDEX($D$59:$D$69,$X74),INDEX($Y$59:$Y$69,$X74))</f>
        <v>(2.0x)</v>
      </c>
      <c r="E74" t="str" s="608">
        <f>TEXT(INDEX($E$59:$E$69,$X74),INDEX($Y$59:$Y$69,$X74))</f>
        <v>+2.0x</v>
      </c>
      <c r="F74" s="612" cm="1">
        <f t="array" ref="F74:F74">INDEX($G$59:$G$69,$X74)</f>
        <v>0.18473483920097353</v>
      </c>
      <c r="G74" s="612" cm="1">
        <f t="array" ref="G74:G74">INDEX($H$59:$H$69,$X74)</f>
        <v>0.23487429022789</v>
      </c>
      <c r="H74" s="612" cm="1">
        <f t="array" ref="H74:H74">INDEX($I$59:$I$69,$X74)</f>
        <v>0.05155389308929437</v>
      </c>
      <c r="I74" s="636">
        <f>F74-$F$58</f>
        <v>-0.025983095169067355</v>
      </c>
      <c r="J74" s="636">
        <f>G74-$F$58</f>
        <v>0.024156355857849116</v>
      </c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633">
        <f>MATCH(LARGE($X$59:$X$69,ROWS($C$73:C74)),$X$59:$X$69,0)</f>
        <v>3</v>
      </c>
      <c r="Y74" s="633"/>
      <c r="Z74" t="str" s="255" cm="1">
        <f t="array" ref="Z74:Z74">INDEX($Z$59:$Z$69,$X74)</f>
        <v>Exit multiple ±2.0x</v>
      </c>
      <c r="AA74" s="255"/>
      <c r="AB74" s="255"/>
      <c r="AC74" s="255"/>
      <c r="AD74" s="255"/>
      <c r="AE74" s="255"/>
      <c r="AF74" s="255"/>
    </row>
    <row r="75">
      <c r="A75" s="255"/>
      <c r="B75" s="255"/>
      <c r="C75" t="str" s="255" cm="1">
        <f t="array" ref="C75:C75">INDEX($C$59:$C$69,$X75)</f>
        <v>Adj. EBITDA margin (pp, all years)</v>
      </c>
      <c r="D75" t="str" s="608">
        <f>TEXT(INDEX($D$59:$D$69,$X75),INDEX($Y$59:$Y$69,$X75))</f>
        <v>(2.0pp)</v>
      </c>
      <c r="E75" t="str" s="608">
        <f>TEXT(INDEX($E$59:$E$69,$X75),INDEX($Y$59:$Y$69,$X75))</f>
        <v>+2.0pp</v>
      </c>
      <c r="F75" s="612" cm="1">
        <f t="array" ref="F75:F75">INDEX($G$59:$G$69,$X75)</f>
        <v>0.1916639983654022</v>
      </c>
      <c r="G75" s="612" cm="1">
        <f t="array" ref="G75:G75">INDEX($H$59:$H$69,$X75)</f>
        <v>0.22893760800361637</v>
      </c>
      <c r="H75" s="612" cm="1">
        <f t="array" ref="H75:H75">INDEX($I$59:$I$69,$X75)</f>
        <v>0.03831839561462397</v>
      </c>
      <c r="I75" s="636">
        <f>F75-$F$58</f>
        <v>-0.019053936004638672</v>
      </c>
      <c r="J75" s="636">
        <f>G75-$F$58</f>
        <v>0.01821967363357549</v>
      </c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633">
        <f>MATCH(LARGE($X$59:$X$69,ROWS($C$73:C75)),$X$59:$X$69,0)</f>
        <v>2</v>
      </c>
      <c r="Y75" s="633"/>
      <c r="Z75" t="str" s="255" cm="1">
        <f t="array" ref="Z75:Z75">INDEX($Z$59:$Z$69,$X75)</f>
        <v>EBITDA margin ±2pp</v>
      </c>
      <c r="AA75" s="255"/>
      <c r="AB75" s="255"/>
      <c r="AC75" s="255"/>
      <c r="AD75" s="255"/>
      <c r="AE75" s="255"/>
      <c r="AF75" s="255"/>
    </row>
    <row r="76">
      <c r="A76" s="255"/>
      <c r="B76" s="255"/>
      <c r="C76" t="str" s="255" cm="1">
        <f t="array" ref="C76:C76">INDEX($C$59:$C$69,$X76)</f>
        <v>Entry price per share ($)</v>
      </c>
      <c r="D76" t="str" s="608">
        <f>TEXT(INDEX($D$59:$D$69,$X76),INDEX($Y$59:$Y$69,$X76))</f>
        <v>$23.55</v>
      </c>
      <c r="E76" t="str" s="608">
        <f>TEXT(INDEX($E$59:$E$69,$X76),INDEX($Y$59:$Y$69,$X76))</f>
        <v>$25.55</v>
      </c>
      <c r="F76" s="612" cm="1">
        <f t="array" ref="F76:F76">INDEX($G$59:$G$69,$X76)</f>
        <v>0.22547767758369447</v>
      </c>
      <c r="G76" s="612" cm="1">
        <f t="array" ref="G76:G76">INDEX($H$59:$H$69,$X76)</f>
        <v>0.19688904881477357</v>
      </c>
      <c r="H76" s="612" cm="1">
        <f t="array" ref="H76:H76">INDEX($I$59:$I$69,$X76)</f>
        <v>0.029344940185546897</v>
      </c>
      <c r="I76" s="636">
        <f>F76-$F$58</f>
        <v>0.014759743213653587</v>
      </c>
      <c r="J76" s="636">
        <f>G76-$F$58</f>
        <v>-0.013828885555267317</v>
      </c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633">
        <f>MATCH(LARGE($X$59:$X$69,ROWS($C$73:C76)),$X$59:$X$69,0)</f>
        <v>4</v>
      </c>
      <c r="Y76" s="633"/>
      <c r="Z76" t="str" s="255" cm="1">
        <f t="array" ref="Z76:Z76">INDEX($Z$59:$Z$69,$X76)</f>
        <v>Entry price ±$1.00</v>
      </c>
      <c r="AA76" s="255"/>
      <c r="AB76" s="255"/>
      <c r="AC76" s="255"/>
      <c r="AD76" s="255"/>
      <c r="AE76" s="255"/>
      <c r="AF76" s="255"/>
    </row>
    <row r="77">
      <c r="A77" s="255"/>
      <c r="B77" s="255"/>
      <c r="C77" t="str" s="255" cm="1">
        <f t="array" ref="C77:C77">INDEX($C$59:$C$69,$X77)</f>
        <v>SBC treated as cash (%)</v>
      </c>
      <c r="D77" t="str" s="608">
        <f>TEXT(INDEX($D$59:$D$69,$X77),INDEX($Y$59:$Y$69,$X77))</f>
        <v>50%</v>
      </c>
      <c r="E77" t="str" s="608">
        <f>TEXT(INDEX($E$59:$E$69,$X77),INDEX($Y$59:$Y$69,$X77))</f>
        <v>100%</v>
      </c>
      <c r="F77" s="612" cm="1">
        <f t="array" ref="F77:F77">INDEX($G$59:$G$69,$X77)</f>
        <v>0.21787521243095395</v>
      </c>
      <c r="G77" s="612" cm="1">
        <f t="array" ref="G77:G77">INDEX($H$59:$H$69,$X77)</f>
        <v>0.21071793437004088</v>
      </c>
      <c r="H77" s="612" cm="1">
        <f t="array" ref="H77:H77">INDEX($I$59:$I$69,$X77)</f>
        <v>0.007440626621246338</v>
      </c>
      <c r="I77" s="636">
        <f>F77-$F$58</f>
        <v>0.007157278060913069</v>
      </c>
      <c r="J77" s="636">
        <f>G77-$F$58</f>
        <v>0</v>
      </c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633">
        <f>MATCH(LARGE($X$59:$X$69,ROWS($C$73:C77)),$X$59:$X$69,0)</f>
        <v>5</v>
      </c>
      <c r="Y77" s="633"/>
      <c r="Z77" t="str" s="255" cm="1">
        <f t="array" ref="Z77:Z77">INDEX($Z$59:$Z$69,$X77)</f>
        <v>SBC as cash 50% / 100%</v>
      </c>
      <c r="AA77" s="255"/>
      <c r="AB77" s="255"/>
      <c r="AC77" s="255"/>
      <c r="AD77" s="255"/>
      <c r="AE77" s="255"/>
      <c r="AF77" s="255"/>
    </row>
    <row r="78">
      <c r="A78" s="255"/>
      <c r="B78" s="255"/>
      <c r="C78" t="str" s="255" cm="1">
        <f t="array" ref="C78:C78">INDEX($C$59:$C$69,$X78)</f>
        <v>Term SOFR (bps vs. 3.53% flat)</v>
      </c>
      <c r="D78" t="str" s="608">
        <f>TEXT(INDEX($D$59:$D$69,$X78),INDEX($Y$59:$Y$69,$X78))</f>
        <v>(100bps)</v>
      </c>
      <c r="E78" t="str" s="608">
        <f>TEXT(INDEX($E$59:$E$69,$X78),INDEX($Y$59:$Y$69,$X78))</f>
        <v>+100bps</v>
      </c>
      <c r="F78" s="612" cm="1">
        <f t="array" ref="F78:F78">INDEX($G$59:$G$69,$X78)</f>
        <v>0.21337559819221502</v>
      </c>
      <c r="G78" s="612" cm="1">
        <f t="array" ref="G78:G78">INDEX($H$59:$H$69,$X78)</f>
        <v>0.2078997194766998</v>
      </c>
      <c r="H78" s="612" cm="1">
        <f t="array" ref="H78:H78">INDEX($I$59:$I$69,$X78)</f>
        <v>0.006093120574951094</v>
      </c>
      <c r="I78" s="636">
        <f>F78-$F$58</f>
        <v>0.002657663822174139</v>
      </c>
      <c r="J78" s="636">
        <f>G78-$F$58</f>
        <v>-0.002818214893341081</v>
      </c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633">
        <f>MATCH(LARGE($X$59:$X$69,ROWS($C$73:C78)),$X$59:$X$69,0)</f>
        <v>6</v>
      </c>
      <c r="Y78" s="633"/>
      <c r="Z78" t="str" s="255" cm="1">
        <f t="array" ref="Z78:Z78">INDEX($Z$59:$Z$69,$X78)</f>
        <v>SOFR ±100bps</v>
      </c>
      <c r="AA78" s="255"/>
      <c r="AB78" s="255"/>
      <c r="AC78" s="255"/>
      <c r="AD78" s="255"/>
      <c r="AE78" s="255"/>
      <c r="AF78" s="255"/>
    </row>
    <row r="79">
      <c r="A79" s="255"/>
      <c r="B79" s="255"/>
      <c r="C79" t="str" s="255" cm="1">
        <f t="array" ref="C79:C79">INDEX($C$59:$C$69,$X79)</f>
        <v>Company merger costs ($m)</v>
      </c>
      <c r="D79" t="str" s="608">
        <f>TEXT(INDEX($D$59:$D$69,$X79),INDEX($Y$59:$Y$69,$X79))</f>
        <v>$100</v>
      </c>
      <c r="E79" t="str" s="608">
        <f>TEXT(INDEX($E$59:$E$69,$X79),INDEX($Y$59:$Y$69,$X79))</f>
        <v>$150</v>
      </c>
      <c r="F79" s="612" cm="1">
        <f t="array" ref="F79:F79">INDEX($G$59:$G$69,$X79)</f>
        <v>0.21184790730476383</v>
      </c>
      <c r="G79" s="612" cm="1">
        <f t="array" ref="G79:G79">INDEX($H$59:$H$69,$X79)</f>
        <v>0.20951412320137025</v>
      </c>
      <c r="H79" s="612" cm="1">
        <f t="array" ref="H79:H79">INDEX($I$59:$I$69,$X79)</f>
        <v>0.002381885051727345</v>
      </c>
      <c r="I79" s="636">
        <f>F79-$F$58</f>
        <v>0.0011299729347229448</v>
      </c>
      <c r="J79" s="636">
        <f>G79-$F$58</f>
        <v>-0.001203811168670632</v>
      </c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633">
        <f>MATCH(LARGE($X$59:$X$69,ROWS($C$73:C79)),$X$59:$X$69,0)</f>
        <v>10</v>
      </c>
      <c r="Y79" s="633"/>
      <c r="Z79" t="str" s="255" cm="1">
        <f t="array" ref="Z79:Z79">INDEX($Z$59:$Z$69,$X79)</f>
        <v>Merger costs $100m / $150m</v>
      </c>
      <c r="AA79" s="255"/>
      <c r="AB79" s="255"/>
      <c r="AC79" s="255"/>
      <c r="AD79" s="255"/>
      <c r="AE79" s="255"/>
      <c r="AF79" s="255"/>
    </row>
    <row r="80">
      <c r="A80" s="255"/>
      <c r="B80" s="255"/>
      <c r="C80" t="str" s="255" cm="1">
        <f t="array" ref="C80:C80">INDEX($C$59:$C$69,$X80)</f>
        <v>Minimum cash ($m)</v>
      </c>
      <c r="D80" t="str" s="608">
        <f>TEXT(INDEX($D$59:$D$69,$X80),INDEX($Y$59:$Y$69,$X80))</f>
        <v>$50</v>
      </c>
      <c r="E80" t="str" s="608">
        <f>TEXT(INDEX($E$59:$E$69,$X80),INDEX($Y$59:$Y$69,$X80))</f>
        <v>$150</v>
      </c>
      <c r="F80" s="612" cm="1">
        <f t="array" ref="F80:F80">INDEX($G$59:$G$69,$X80)</f>
        <v>0.21130159497261053</v>
      </c>
      <c r="G80" s="612" cm="1">
        <f t="array" ref="G80:G80">INDEX($H$59:$H$69,$X80)</f>
        <v>0.20899127125740052</v>
      </c>
      <c r="H80" s="612" cm="1">
        <f t="array" ref="H80:H80">INDEX($I$59:$I$69,$X80)</f>
        <v>0.0023345112800598755</v>
      </c>
      <c r="I80" s="636">
        <f>F80-$F$58</f>
        <v>0.0005836606025696467</v>
      </c>
      <c r="J80" s="636">
        <f>G80-$F$58</f>
        <v>-0.0017266631126403587</v>
      </c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633">
        <f>MATCH(LARGE($X$59:$X$69,ROWS($C$73:C80)),$X$59:$X$69,0)</f>
        <v>11</v>
      </c>
      <c r="Y80" s="633"/>
      <c r="Z80" t="str" s="255" cm="1">
        <f t="array" ref="Z80:Z80">INDEX($Z$59:$Z$69,$X80)</f>
        <v>Minimum cash $50m / $150m</v>
      </c>
      <c r="AA80" s="255"/>
      <c r="AB80" s="255"/>
      <c r="AC80" s="255"/>
      <c r="AD80" s="255"/>
      <c r="AE80" s="255"/>
      <c r="AF80" s="255"/>
    </row>
    <row r="81">
      <c r="A81" s="255"/>
      <c r="B81" s="255"/>
      <c r="C81" t="str" s="255" cm="1">
        <f t="array" ref="C81:C81">INDEX($C$59:$C$69,$X81)</f>
        <v>NWC investment (pp of revenue)</v>
      </c>
      <c r="D81" t="str" s="608">
        <f>TEXT(INDEX($D$59:$D$69,$X81),INDEX($Y$59:$Y$69,$X81))</f>
        <v>(0.7pp)</v>
      </c>
      <c r="E81" t="str" s="608">
        <f>TEXT(INDEX($E$59:$E$69,$X81),INDEX($Y$59:$Y$69,$X81))</f>
        <v>+0.7pp</v>
      </c>
      <c r="F81" s="612" cm="1">
        <f t="array" ref="F81:F81">INDEX($G$59:$G$69,$X81)</f>
        <v>0.21162016987800597</v>
      </c>
      <c r="G81" s="612" cm="1">
        <f t="array" ref="G81:G81">INDEX($H$59:$H$69,$X81)</f>
        <v>0.2098133146762848</v>
      </c>
      <c r="H81" s="612" cm="1">
        <f t="array" ref="H81:H81">INDEX($I$59:$I$69,$X81)</f>
        <v>0.0018522500991821622</v>
      </c>
      <c r="I81" s="636">
        <f>F81-$F$58</f>
        <v>0.0009022355079650879</v>
      </c>
      <c r="J81" s="636">
        <f>G81-$F$58</f>
        <v>-0.0009046196937560758</v>
      </c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633">
        <f>MATCH(LARGE($X$59:$X$69,ROWS($C$73:C81)),$X$59:$X$69,0)</f>
        <v>9</v>
      </c>
      <c r="Y81" s="633"/>
      <c r="Z81" t="str" s="255" cm="1">
        <f t="array" ref="Z81:Z81">INDEX($Z$59:$Z$69,$X81)</f>
        <v>NWC ±0.7pp</v>
      </c>
      <c r="AA81" s="255"/>
      <c r="AB81" s="255"/>
      <c r="AC81" s="255"/>
      <c r="AD81" s="255"/>
      <c r="AE81" s="255"/>
      <c r="AF81" s="255"/>
    </row>
    <row r="82">
      <c r="A82" s="255"/>
      <c r="B82" s="255"/>
      <c r="C82" t="str" s="255" cm="1">
        <f t="array" ref="C82:C82">INDEX($C$59:$C$69,$X82)</f>
        <v>Capex (pp of revenue)</v>
      </c>
      <c r="D82" t="str" s="608">
        <f>TEXT(INDEX($D$59:$D$69,$X82),INDEX($Y$59:$Y$69,$X82))</f>
        <v>(0.5pp)</v>
      </c>
      <c r="E82" t="str" s="608">
        <f>TEXT(INDEX($E$59:$E$69,$X82),INDEX($Y$59:$Y$69,$X82))</f>
        <v>+0.9pp</v>
      </c>
      <c r="F82" s="612" cm="1">
        <f t="array" ref="F82:F82">INDEX($G$59:$G$69,$X82)</f>
        <v>0.21133117079734806</v>
      </c>
      <c r="G82" s="612" cm="1">
        <f t="array" ref="G82:G82">INDEX($H$59:$H$69,$X82)</f>
        <v>0.2096113383769989</v>
      </c>
      <c r="H82" s="612" cm="1">
        <f t="array" ref="H82:H82">INDEX($I$59:$I$69,$X82)</f>
        <v>0.0017630815505981778</v>
      </c>
      <c r="I82" s="636">
        <f>F82-$F$58</f>
        <v>0.0006132364273071789</v>
      </c>
      <c r="J82" s="636">
        <f>G82-$F$58</f>
        <v>-0.00110659599304197</v>
      </c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633">
        <f>MATCH(LARGE($X$59:$X$69,ROWS($C$73:C82)),$X$59:$X$69,0)</f>
        <v>8</v>
      </c>
      <c r="Y82" s="633"/>
      <c r="Z82" t="str" s="255" cm="1">
        <f t="array" ref="Z82:Z82">INDEX($Z$59:$Z$69,$X82)</f>
        <v>Capex (0.5pp) / +0.9pp</v>
      </c>
      <c r="AA82" s="255"/>
      <c r="AB82" s="255"/>
      <c r="AC82" s="255"/>
      <c r="AD82" s="255"/>
      <c r="AE82" s="255"/>
      <c r="AF82" s="255"/>
    </row>
    <row r="83">
      <c r="A83" s="255"/>
      <c r="B83" s="255"/>
      <c r="C83" t="str" s="255" cm="1">
        <f t="array" ref="C83:C83">INDEX($C$59:$C$69,$X83)</f>
        <v>PIK election</v>
      </c>
      <c r="D83" t="str" s="608">
        <f>TEXT(INDEX($D$59:$D$69,$X83),INDEX($Y$59:$Y$69,$X83))</f>
        <v>Off</v>
      </c>
      <c r="E83" t="str" s="608">
        <f>TEXT(INDEX($E$59:$E$69,$X83),INDEX($Y$59:$Y$69,$X83))</f>
        <v>On</v>
      </c>
      <c r="F83" s="612" cm="1">
        <f t="array" ref="F83:F83">INDEX($G$59:$G$69,$X83)</f>
        <v>0.21108040213584903</v>
      </c>
      <c r="G83" s="612" cm="1">
        <f t="array" ref="G83:G83">INDEX($H$59:$H$69,$X83)</f>
        <v>0.21071793437004088</v>
      </c>
      <c r="H83" s="612" cm="1">
        <f t="array" ref="H83:H83">INDEX($I$59:$I$69,$X83)</f>
        <v>0.00039800405502321556</v>
      </c>
      <c r="I83" s="636">
        <f>F83-$F$58</f>
        <v>0.0003624677658081443</v>
      </c>
      <c r="J83" s="636">
        <f>G83-$F$58</f>
        <v>0</v>
      </c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633">
        <f>MATCH(LARGE($X$59:$X$69,ROWS($C$73:C83)),$X$59:$X$69,0)</f>
        <v>7</v>
      </c>
      <c r="Y83" s="633"/>
      <c r="Z83" t="str" s="255" cm="1">
        <f t="array" ref="Z83:Z83">INDEX($Z$59:$Z$69,$X83)</f>
        <v>PIK off / on</v>
      </c>
      <c r="AA83" s="255"/>
      <c r="AB83" s="255"/>
      <c r="AC83" s="255"/>
      <c r="AD83" s="255"/>
      <c r="AE83" s="255"/>
      <c r="AF83" s="255"/>
    </row>
    <row r="84">
      <c r="A84" s="255"/>
      <c r="B84" s="255"/>
      <c r="C84" t="s" s="638">
        <v>2194</v>
      </c>
      <c r="D84" s="638"/>
      <c r="E84" s="638"/>
      <c r="F84" s="639">
        <f>F58</f>
        <v>0.21071793437004088</v>
      </c>
      <c r="G84" s="640"/>
      <c r="H84" s="640"/>
      <c r="I84" s="640"/>
      <c r="J84" s="640"/>
      <c r="K84" s="255"/>
      <c r="L84" s="255"/>
      <c r="M84" s="255"/>
      <c r="N84" s="255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</row>
    <row r="85">
      <c r="A85" s="255"/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</row>
    <row r="86">
      <c r="A86" s="255"/>
      <c r="B86" s="255"/>
      <c r="C86" t="s" s="579">
        <v>2228</v>
      </c>
      <c r="D86" s="579"/>
      <c r="E86" s="579"/>
      <c r="F86" s="579"/>
      <c r="G86" s="579"/>
      <c r="H86" s="579"/>
      <c r="I86" s="579"/>
      <c r="J86" s="579"/>
      <c r="K86" s="579"/>
      <c r="L86" s="579"/>
      <c r="M86" s="579"/>
      <c r="N86" s="579"/>
      <c r="O86" s="579"/>
      <c r="P86" s="579"/>
      <c r="Q86" s="579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</row>
    <row r="87">
      <c r="A87" s="255"/>
      <c r="B87" s="255"/>
      <c r="C87" s="255"/>
      <c r="D87" s="255"/>
      <c r="E87" t="s" s="580">
        <v>303</v>
      </c>
      <c r="F87" t="s" s="580">
        <v>2246</v>
      </c>
      <c r="G87" t="s" s="580">
        <v>2247</v>
      </c>
      <c r="H87" t="s" s="580">
        <v>2249</v>
      </c>
      <c r="I87" t="s" s="580">
        <v>1451</v>
      </c>
      <c r="J87" t="s" s="580">
        <v>1452</v>
      </c>
      <c r="K87" t="s" s="580">
        <v>2251</v>
      </c>
      <c r="L87" t="s" s="643">
        <v>2260</v>
      </c>
      <c r="M87" t="s" s="643">
        <v>2137</v>
      </c>
      <c r="N87" t="s" s="643">
        <v>2261</v>
      </c>
      <c r="O87" t="s" s="643">
        <v>2262</v>
      </c>
      <c r="P87" t="s" s="643">
        <v>2263</v>
      </c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</row>
    <row r="88">
      <c r="A88" s="255"/>
      <c r="B88" s="255"/>
      <c r="C88" t="s" s="279">
        <v>2229</v>
      </c>
      <c r="D88" s="255"/>
      <c r="E88" s="661">
        <f>Model!N55</f>
        <v>1479.5136556293476</v>
      </c>
      <c r="F88" s="661">
        <f>Model!N57</f>
        <v>573.4936124361247</v>
      </c>
      <c r="G88" s="662">
        <f>Model!N164</f>
        <v>4.15832616035263</v>
      </c>
      <c r="H88" s="662">
        <f>Model!N170</f>
        <v>2.969965134551802</v>
      </c>
      <c r="I88" s="663">
        <f>Model!I204</f>
        <v>0.21071793437004088</v>
      </c>
      <c r="J88" s="664">
        <f>Model!I205</f>
        <v>2.3735574644539157</v>
      </c>
      <c r="K88" s="641">
        <f>INDEX(Model!$K$192:$N$192,MATCH(Model!$M$8,Model!$K$54:$N$54,0))</f>
        <v>25.32829056423241</v>
      </c>
      <c r="L88" s="644">
        <f>INDEX(Model!$K$176:$N$176,MATCH(Model!$M$8,Model!$K$54:$N$54,0))</f>
        <v>636.0283537011794</v>
      </c>
      <c r="M88" s="644">
        <f>INDEX(Model!$K$162:$N$162,MATCH(Model!$M$8,Model!$K$54:$N$54,0))</f>
        <v>2309.7734913882755</v>
      </c>
      <c r="N88" s="665">
        <f>Model!E34</f>
        <v>5737.031985790003</v>
      </c>
      <c r="O88" s="662">
        <f>Model!U26</f>
        <v>25.041255617597592</v>
      </c>
      <c r="P88" s="645">
        <f>(Model!M8-Model!E4)/365</f>
        <v>4.52054794520548</v>
      </c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</row>
    <row r="89">
      <c r="A89" s="255"/>
      <c r="B89" s="255"/>
      <c r="C89" t="s" s="255">
        <v>2230</v>
      </c>
      <c r="D89" s="590">
        <v>4</v>
      </c>
      <c r="E89" s="584">
        <f t="dataTable" ref="E89:P92" r1="E20"/>
        <v>1479.5136556293476</v>
      </c>
      <c r="F89" s="584">
        <v>573.4936124361247</v>
      </c>
      <c r="G89" s="621">
        <v>4.15832616035263</v>
      </c>
      <c r="H89" s="621">
        <v>2.969965134551802</v>
      </c>
      <c r="I89" s="637">
        <v>0.21071793437004088</v>
      </c>
      <c r="J89" s="642">
        <v>2.3735574644539166</v>
      </c>
      <c r="K89" s="582">
        <v>25.328290564232418</v>
      </c>
      <c r="L89" s="646">
        <v>636.0283537011794</v>
      </c>
      <c r="M89" s="646">
        <v>2309.7734913882696</v>
      </c>
      <c r="N89" s="646">
        <v>5737.031985790003</v>
      </c>
      <c r="O89" s="647">
        <v>25.041255617597592</v>
      </c>
      <c r="P89" s="648">
        <v>4.52054794520548</v>
      </c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</row>
    <row r="90">
      <c r="A90" s="255"/>
      <c r="B90" s="255"/>
      <c r="C90" t="s" s="255">
        <v>2007</v>
      </c>
      <c r="D90" s="590">
        <v>2</v>
      </c>
      <c r="E90" s="584">
        <v>1810.386268493151</v>
      </c>
      <c r="F90" s="584">
        <v>764.4298410958905</v>
      </c>
      <c r="G90" s="621">
        <v>2.422125514338847</v>
      </c>
      <c r="H90" s="621">
        <v>4.740523650094698</v>
      </c>
      <c r="I90" s="637">
        <v>0.32423140406608586</v>
      </c>
      <c r="J90" s="642">
        <v>3.5591277516517947</v>
      </c>
      <c r="K90" s="582">
        <v>35.0877986840192</v>
      </c>
      <c r="L90" s="646">
        <v>896.7205265100274</v>
      </c>
      <c r="M90" s="646">
        <v>1776.545022040343</v>
      </c>
      <c r="N90" s="646">
        <v>5737.031985790003</v>
      </c>
      <c r="O90" s="647">
        <v>24.75171931344359</v>
      </c>
      <c r="P90" s="648">
        <v>4.52054794520548</v>
      </c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</row>
    <row r="91">
      <c r="A91" s="255"/>
      <c r="B91" s="255"/>
      <c r="C91" t="s" s="255">
        <v>632</v>
      </c>
      <c r="D91" s="590">
        <v>3</v>
      </c>
      <c r="E91" s="584">
        <v>1682.8780120909169</v>
      </c>
      <c r="F91" s="584">
        <v>677.5654970292405</v>
      </c>
      <c r="G91" s="621">
        <v>3.06580471978075</v>
      </c>
      <c r="H91" s="621">
        <v>3.902833553063711</v>
      </c>
      <c r="I91" s="637">
        <v>0.25675064921379087</v>
      </c>
      <c r="J91" s="642">
        <v>2.809702870288302</v>
      </c>
      <c r="K91" s="582">
        <v>28.918600371767216</v>
      </c>
      <c r="L91" s="646">
        <v>771.7079984457882</v>
      </c>
      <c r="M91" s="646">
        <v>2002.2834987528347</v>
      </c>
      <c r="N91" s="646">
        <v>5737.031985790003</v>
      </c>
      <c r="O91" s="647">
        <v>23.482507337826732</v>
      </c>
      <c r="P91" s="648">
        <v>4.52054794520548</v>
      </c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</row>
    <row r="92">
      <c r="A92" s="255"/>
      <c r="B92" s="255"/>
      <c r="C92" t="s" s="255">
        <v>633</v>
      </c>
      <c r="D92" s="590">
        <v>1</v>
      </c>
      <c r="E92" s="584">
        <v>1296.290368672098</v>
      </c>
      <c r="F92" s="584">
        <v>483.0276855134923</v>
      </c>
      <c r="G92" s="621">
        <v>5.493624689574137</v>
      </c>
      <c r="H92" s="621">
        <v>2.298390923904431</v>
      </c>
      <c r="I92" s="637">
        <v>0.16343494057655336</v>
      </c>
      <c r="J92" s="642">
        <v>1.9823955886446254</v>
      </c>
      <c r="K92" s="582">
        <v>22.10828113557622</v>
      </c>
      <c r="L92" s="646">
        <v>521.2589389124404</v>
      </c>
      <c r="M92" s="646">
        <v>2578.5728188848057</v>
      </c>
      <c r="N92" s="646">
        <v>5737.031985790003</v>
      </c>
      <c r="O92" s="647">
        <v>26.765276675229508</v>
      </c>
      <c r="P92" s="648">
        <v>4.52054794520548</v>
      </c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</row>
    <row r="93">
      <c r="A93" s="255"/>
      <c r="B93" s="255"/>
      <c r="C93" s="255"/>
      <c r="D93" s="255"/>
      <c r="E93" t="s" s="580">
        <v>633</v>
      </c>
      <c r="F93" t="s" s="580">
        <v>631</v>
      </c>
      <c r="G93" t="s" s="580">
        <v>473</v>
      </c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</row>
    <row r="94">
      <c r="A94" s="255"/>
      <c r="B94" s="255"/>
      <c r="C94" t="s" s="279">
        <v>2231</v>
      </c>
      <c r="D94" s="255"/>
      <c r="E94" s="612">
        <f>I92</f>
        <v>0.16343494057655336</v>
      </c>
      <c r="F94" s="612">
        <f>I89</f>
        <v>0.21071793437004088</v>
      </c>
      <c r="G94" s="612">
        <f>E94-F94</f>
        <v>-0.04728299379348752</v>
      </c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</row>
    <row r="95">
      <c r="A95" s="25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</row>
    <row r="96">
      <c r="A96" s="255"/>
      <c r="B96" s="255"/>
      <c r="C96" t="s" s="579">
        <v>2232</v>
      </c>
      <c r="D96" s="579"/>
      <c r="E96" s="579"/>
      <c r="F96" s="579"/>
      <c r="G96" s="579"/>
      <c r="H96" s="579"/>
      <c r="I96" s="579"/>
      <c r="J96" s="579"/>
      <c r="K96" s="579"/>
      <c r="L96" s="579"/>
      <c r="M96" s="579"/>
      <c r="N96" s="579"/>
      <c r="O96" s="579"/>
      <c r="P96" s="579"/>
      <c r="Q96" s="579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</row>
    <row r="97">
      <c r="A97" s="255"/>
      <c r="B97" s="255"/>
      <c r="C97" s="255"/>
      <c r="D97" s="255"/>
      <c r="E97" t="s" s="580">
        <v>2245</v>
      </c>
      <c r="F97" s="649">
        <f>'Driver Assumptions'!F6</f>
        <v>46387</v>
      </c>
      <c r="G97" s="649">
        <f>'Driver Assumptions'!G6</f>
        <v>46752</v>
      </c>
      <c r="H97" s="649">
        <f>'Driver Assumptions'!H6</f>
        <v>47118</v>
      </c>
      <c r="I97" s="649">
        <f>'Driver Assumptions'!I6</f>
        <v>47483</v>
      </c>
      <c r="J97" s="649">
        <f>'Driver Assumptions'!J6</f>
        <v>47848</v>
      </c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</row>
    <row r="98">
      <c r="A98" s="255"/>
      <c r="B98" s="255"/>
      <c r="C98" t="s" s="292">
        <v>2233</v>
      </c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</row>
    <row r="99">
      <c r="A99" s="255"/>
      <c r="B99" s="255"/>
      <c r="C99" t="s" s="574">
        <v>2230</v>
      </c>
      <c r="D99" s="255"/>
      <c r="E99" s="583"/>
      <c r="F99" s="610">
        <f>'Driver Assumptions'!F12</f>
        <v>0.2804032934420566</v>
      </c>
      <c r="G99" s="610">
        <f>'Driver Assumptions'!G12</f>
        <v>0.13619371474853903</v>
      </c>
      <c r="H99" s="610">
        <f>'Driver Assumptions'!H12</f>
        <v>0.12619371474853902</v>
      </c>
      <c r="I99" s="610">
        <f>'Driver Assumptions'!I12</f>
        <v>0.11619371474853901</v>
      </c>
      <c r="J99" s="610">
        <f>'Driver Assumptions'!J12</f>
        <v>0.106193714748539</v>
      </c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</row>
    <row r="100">
      <c r="A100" s="255"/>
      <c r="B100" s="255"/>
      <c r="C100" t="s" s="574">
        <v>2007</v>
      </c>
      <c r="D100" s="255"/>
      <c r="E100" s="583"/>
      <c r="F100" s="610">
        <f>'Driver Assumptions'!F10</f>
        <v>0.28767123287671237</v>
      </c>
      <c r="G100" s="610">
        <f>'Driver Assumptions'!G10</f>
        <v>0.17021276595744683</v>
      </c>
      <c r="H100" s="610">
        <f>'Driver Assumptions'!H10</f>
        <v>0.17999999999999994</v>
      </c>
      <c r="I100" s="610">
        <f>'Driver Assumptions'!I10</f>
        <v>0.17950693374422189</v>
      </c>
      <c r="J100" s="610">
        <f>'Driver Assumptions'!J10</f>
        <v>0.18027433050293928</v>
      </c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</row>
    <row r="101">
      <c r="A101" s="255"/>
      <c r="B101" s="255"/>
      <c r="C101" t="s" s="574">
        <v>632</v>
      </c>
      <c r="D101" s="255"/>
      <c r="E101" s="650">
        <f>'Driver Assumptions'!E11</f>
        <v>3</v>
      </c>
      <c r="F101" s="610">
        <f>'Driver Assumptions'!F11</f>
        <v>0.31040329344205664</v>
      </c>
      <c r="G101" s="610">
        <f>'Driver Assumptions'!G11</f>
        <v>0.16619371474853903</v>
      </c>
      <c r="H101" s="610">
        <f>'Driver Assumptions'!H11</f>
        <v>0.15619371474853902</v>
      </c>
      <c r="I101" s="610">
        <f>'Driver Assumptions'!I11</f>
        <v>0.146193714748539</v>
      </c>
      <c r="J101" s="610">
        <f>'Driver Assumptions'!J11</f>
        <v>0.136193714748539</v>
      </c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</row>
    <row r="102">
      <c r="A102" s="255"/>
      <c r="B102" s="255"/>
      <c r="C102" t="s" s="574">
        <v>633</v>
      </c>
      <c r="D102" s="255"/>
      <c r="E102" s="650">
        <f>'Driver Assumptions'!E9</f>
        <v>-3</v>
      </c>
      <c r="F102" s="610">
        <f>'Driver Assumptions'!F9</f>
        <v>0.2504032934420566</v>
      </c>
      <c r="G102" s="610">
        <f>'Driver Assumptions'!G9</f>
        <v>0.10619371474853903</v>
      </c>
      <c r="H102" s="610">
        <f>'Driver Assumptions'!H9</f>
        <v>0.09619371474853902</v>
      </c>
      <c r="I102" s="610">
        <f>'Driver Assumptions'!I9</f>
        <v>0.08619371474853901</v>
      </c>
      <c r="J102" s="610">
        <f>'Driver Assumptions'!J9</f>
        <v>0.076193714748539</v>
      </c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</row>
    <row r="103">
      <c r="A103" s="255"/>
      <c r="B103" s="255"/>
      <c r="C103" t="s" s="292">
        <v>2234</v>
      </c>
      <c r="D103" s="255"/>
      <c r="E103" s="255"/>
      <c r="F103" s="651"/>
      <c r="G103" s="651"/>
      <c r="H103" s="651"/>
      <c r="I103" s="651"/>
      <c r="J103" s="651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  <c r="V103" s="255"/>
      <c r="W103" s="255"/>
      <c r="X103" s="255"/>
      <c r="Y103" s="255"/>
      <c r="Z103" s="255"/>
      <c r="AA103" s="255"/>
      <c r="AB103" s="255"/>
      <c r="AC103" s="255"/>
      <c r="AD103" s="255"/>
      <c r="AE103" s="255"/>
      <c r="AF103" s="255"/>
    </row>
    <row r="104">
      <c r="A104" s="255"/>
      <c r="B104" s="255"/>
      <c r="C104" t="s" s="574">
        <v>2230</v>
      </c>
      <c r="D104" s="255"/>
      <c r="E104" s="583"/>
      <c r="F104" s="610">
        <f>'Driver Assumptions'!F18</f>
        <v>0.3574343837674717</v>
      </c>
      <c r="G104" s="610">
        <f>'Driver Assumptions'!G18</f>
        <v>0.3716922119342168</v>
      </c>
      <c r="H104" s="610">
        <f>'Driver Assumptions'!H18</f>
        <v>0.37806455168213143</v>
      </c>
      <c r="I104" s="610">
        <f>'Driver Assumptions'!I18</f>
        <v>0.38443689143004606</v>
      </c>
      <c r="J104" s="610">
        <f>'Driver Assumptions'!J18</f>
        <v>0.38762306130400337</v>
      </c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/>
      <c r="AF104" s="255"/>
    </row>
    <row r="105">
      <c r="A105" s="255"/>
      <c r="B105" s="255"/>
      <c r="C105" t="s" s="574">
        <v>2007</v>
      </c>
      <c r="D105" s="255"/>
      <c r="E105" s="583"/>
      <c r="F105" s="610">
        <f>'Driver Assumptions'!F16</f>
        <v>0.3595744680851064</v>
      </c>
      <c r="G105" s="610">
        <f>'Driver Assumptions'!G16</f>
        <v>0.38</v>
      </c>
      <c r="H105" s="610">
        <f>'Driver Assumptions'!H16</f>
        <v>0.39907550077041604</v>
      </c>
      <c r="I105" s="610">
        <f>'Driver Assumptions'!I16</f>
        <v>0.41410842586544744</v>
      </c>
      <c r="J105" s="610">
        <f>'Driver Assumptions'!J16</f>
        <v>0.4222468179302712</v>
      </c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</row>
    <row r="106">
      <c r="A106" s="255"/>
      <c r="B106" s="255"/>
      <c r="C106" t="s" s="574">
        <v>632</v>
      </c>
      <c r="D106" s="255"/>
      <c r="E106" s="650">
        <f>'Driver Assumptions'!E17</f>
        <v>1.5</v>
      </c>
      <c r="F106" s="610">
        <f>'Driver Assumptions'!F17</f>
        <v>0.37243438376747173</v>
      </c>
      <c r="G106" s="610">
        <f>'Driver Assumptions'!G17</f>
        <v>0.3866922119342168</v>
      </c>
      <c r="H106" s="610">
        <f>'Driver Assumptions'!H17</f>
        <v>0.39306455168213145</v>
      </c>
      <c r="I106" s="610">
        <f>'Driver Assumptions'!I17</f>
        <v>0.39943689143004607</v>
      </c>
      <c r="J106" s="610">
        <f>'Driver Assumptions'!J17</f>
        <v>0.4026230613040034</v>
      </c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</row>
    <row r="107">
      <c r="A107" s="255"/>
      <c r="B107" s="255"/>
      <c r="C107" t="s" s="574">
        <v>633</v>
      </c>
      <c r="D107" s="255"/>
      <c r="E107" s="650">
        <f>'Driver Assumptions'!E15</f>
        <v>-1.5</v>
      </c>
      <c r="F107" s="610">
        <f>'Driver Assumptions'!F15</f>
        <v>0.3424343837674717</v>
      </c>
      <c r="G107" s="610">
        <f>'Driver Assumptions'!G15</f>
        <v>0.3566922119342168</v>
      </c>
      <c r="H107" s="610">
        <f>'Driver Assumptions'!H15</f>
        <v>0.3630645516821314</v>
      </c>
      <c r="I107" s="610">
        <f>'Driver Assumptions'!I15</f>
        <v>0.36943689143004604</v>
      </c>
      <c r="J107" s="610">
        <f>'Driver Assumptions'!J15</f>
        <v>0.37262306130400336</v>
      </c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</row>
    <row r="108">
      <c r="A108" s="255"/>
      <c r="B108" s="255"/>
      <c r="C108" t="s" s="292">
        <v>2235</v>
      </c>
      <c r="D108" s="255"/>
      <c r="E108" s="255"/>
      <c r="F108" s="651"/>
      <c r="G108" s="651"/>
      <c r="H108" s="651"/>
      <c r="I108" s="651"/>
      <c r="J108" s="651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</row>
    <row r="109">
      <c r="A109" s="255"/>
      <c r="B109" s="255"/>
      <c r="C109" t="s" s="574">
        <v>2230</v>
      </c>
      <c r="D109" s="255"/>
      <c r="E109" s="255"/>
      <c r="F109" s="652">
        <f>'Driver Assumptions'!F24</f>
        <v>127.896</v>
      </c>
      <c r="G109" s="652">
        <f>'Driver Assumptions'!G24</f>
        <v>127.896</v>
      </c>
      <c r="H109" s="652">
        <f>'Driver Assumptions'!H24</f>
        <v>135.96583567073958</v>
      </c>
      <c r="I109" s="652">
        <f>'Driver Assumptions'!I24</f>
        <v>143.8650234334759</v>
      </c>
      <c r="J109" s="652">
        <f>'Driver Assumptions'!J24</f>
        <v>151.50380406386913</v>
      </c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</row>
    <row r="110">
      <c r="A110" s="255"/>
      <c r="B110" s="255"/>
      <c r="C110" t="s" s="574">
        <v>2007</v>
      </c>
      <c r="D110" s="255"/>
      <c r="E110" s="255"/>
      <c r="F110" s="652">
        <f>'Driver Assumptions'!F22</f>
        <v>127</v>
      </c>
      <c r="G110" s="652">
        <f>'Driver Assumptions'!G22</f>
        <v>127</v>
      </c>
      <c r="H110" s="652">
        <f>'Driver Assumptions'!H22</f>
        <v>127</v>
      </c>
      <c r="I110" s="652">
        <f>'Driver Assumptions'!I22</f>
        <v>127</v>
      </c>
      <c r="J110" s="652">
        <f>'Driver Assumptions'!J22</f>
        <v>127</v>
      </c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</row>
    <row r="111">
      <c r="A111" s="255"/>
      <c r="B111" s="255"/>
      <c r="C111" t="s" s="574">
        <v>632</v>
      </c>
      <c r="D111" s="255"/>
      <c r="E111" s="255"/>
      <c r="F111" s="652">
        <f>'Driver Assumptions'!F23</f>
        <v>127.896</v>
      </c>
      <c r="G111" s="652">
        <f>'Driver Assumptions'!G23</f>
        <v>127.896</v>
      </c>
      <c r="H111" s="652">
        <f>'Driver Assumptions'!H23</f>
        <v>135.96583567073958</v>
      </c>
      <c r="I111" s="652">
        <f>'Driver Assumptions'!I23</f>
        <v>143.8650234334759</v>
      </c>
      <c r="J111" s="652">
        <f>'Driver Assumptions'!J23</f>
        <v>151.50380406386913</v>
      </c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</row>
    <row r="112">
      <c r="A112" s="255"/>
      <c r="B112" s="255"/>
      <c r="C112" t="s" s="574">
        <v>633</v>
      </c>
      <c r="D112" s="255"/>
      <c r="E112" s="255"/>
      <c r="F112" s="652">
        <f>'Driver Assumptions'!F21</f>
        <v>127.896</v>
      </c>
      <c r="G112" s="652">
        <f>'Driver Assumptions'!G21</f>
        <v>127.896</v>
      </c>
      <c r="H112" s="652">
        <f>'Driver Assumptions'!H21</f>
        <v>135.96583567073958</v>
      </c>
      <c r="I112" s="652">
        <f>'Driver Assumptions'!I21</f>
        <v>143.8650234334759</v>
      </c>
      <c r="J112" s="652">
        <f>'Driver Assumptions'!J21</f>
        <v>151.50380406386913</v>
      </c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</row>
    <row r="113">
      <c r="A113" s="255"/>
      <c r="B113" s="255"/>
      <c r="C113" t="s" s="292">
        <v>635</v>
      </c>
      <c r="D113" s="255"/>
      <c r="E113" s="255"/>
      <c r="F113" s="651"/>
      <c r="G113" s="651"/>
      <c r="H113" s="651"/>
      <c r="I113" s="651"/>
      <c r="J113" s="651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  <c r="V113" s="255"/>
      <c r="W113" s="255"/>
      <c r="X113" s="255"/>
      <c r="Y113" s="255"/>
      <c r="Z113" s="255"/>
      <c r="AA113" s="255"/>
      <c r="AB113" s="255"/>
      <c r="AC113" s="255"/>
      <c r="AD113" s="255"/>
      <c r="AE113" s="255"/>
      <c r="AF113" s="255"/>
    </row>
    <row r="114">
      <c r="A114" s="255"/>
      <c r="B114" s="255"/>
      <c r="C114" t="s" s="574">
        <v>2230</v>
      </c>
      <c r="D114" s="255"/>
      <c r="E114" s="255"/>
      <c r="F114" s="610">
        <f>'Driver Assumptions'!F30</f>
        <v>0.01671739952828644</v>
      </c>
      <c r="G114" s="610">
        <f>'Driver Assumptions'!G30</f>
        <v>0.01671739952828644</v>
      </c>
      <c r="H114" s="610">
        <f>'Driver Assumptions'!H30</f>
        <v>0.01671739952828644</v>
      </c>
      <c r="I114" s="610">
        <f>'Driver Assumptions'!I30</f>
        <v>0.01671739952828644</v>
      </c>
      <c r="J114" s="610">
        <f>'Driver Assumptions'!J30</f>
        <v>0.01671739952828644</v>
      </c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</row>
    <row r="115">
      <c r="A115" s="255"/>
      <c r="B115" s="255"/>
      <c r="C115" t="s" s="574">
        <v>2007</v>
      </c>
      <c r="D115" s="255"/>
      <c r="E115" s="255"/>
      <c r="F115" s="610">
        <f>'Driver Assumptions'!F28</f>
        <v>0.022</v>
      </c>
      <c r="G115" s="610">
        <f>'Driver Assumptions'!G28</f>
        <v>0.015</v>
      </c>
      <c r="H115" s="610">
        <f>'Driver Assumptions'!H28</f>
        <v>0.015</v>
      </c>
      <c r="I115" s="610">
        <f>'Driver Assumptions'!I28</f>
        <v>0.015</v>
      </c>
      <c r="J115" s="610">
        <f>'Driver Assumptions'!J28</f>
        <v>0.015</v>
      </c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</row>
    <row r="116">
      <c r="A116" s="255"/>
      <c r="B116" s="255"/>
      <c r="C116" t="s" s="574">
        <v>632</v>
      </c>
      <c r="D116" s="255"/>
      <c r="E116" s="255"/>
      <c r="F116" s="610">
        <f>'Driver Assumptions'!F29</f>
        <v>0.01671739952828644</v>
      </c>
      <c r="G116" s="610">
        <f>'Driver Assumptions'!G29</f>
        <v>0.01671739952828644</v>
      </c>
      <c r="H116" s="610">
        <f>'Driver Assumptions'!H29</f>
        <v>0.01671739952828644</v>
      </c>
      <c r="I116" s="610">
        <f>'Driver Assumptions'!I29</f>
        <v>0.01671739952828644</v>
      </c>
      <c r="J116" s="610">
        <f>'Driver Assumptions'!J29</f>
        <v>0.01671739952828644</v>
      </c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  <c r="V116" s="255"/>
      <c r="W116" s="255"/>
      <c r="X116" s="255"/>
      <c r="Y116" s="255"/>
      <c r="Z116" s="255"/>
      <c r="AA116" s="255"/>
      <c r="AB116" s="255"/>
      <c r="AC116" s="255"/>
      <c r="AD116" s="255"/>
      <c r="AE116" s="255"/>
      <c r="AF116" s="255"/>
    </row>
    <row r="117">
      <c r="A117" s="255"/>
      <c r="B117" s="255"/>
      <c r="C117" t="s" s="574">
        <v>633</v>
      </c>
      <c r="D117" s="255"/>
      <c r="E117" s="255"/>
      <c r="F117" s="610">
        <f>'Driver Assumptions'!F27</f>
        <v>0.01671739952828644</v>
      </c>
      <c r="G117" s="610">
        <f>'Driver Assumptions'!G27</f>
        <v>0.01671739952828644</v>
      </c>
      <c r="H117" s="610">
        <f>'Driver Assumptions'!H27</f>
        <v>0.01671739952828644</v>
      </c>
      <c r="I117" s="610">
        <f>'Driver Assumptions'!I27</f>
        <v>0.01671739952828644</v>
      </c>
      <c r="J117" s="610">
        <f>'Driver Assumptions'!J27</f>
        <v>0.01671739952828644</v>
      </c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  <c r="W117" s="255"/>
      <c r="X117" s="255"/>
      <c r="Y117" s="255"/>
      <c r="Z117" s="255"/>
      <c r="AA117" s="255"/>
      <c r="AB117" s="255"/>
      <c r="AC117" s="255"/>
      <c r="AD117" s="255"/>
      <c r="AE117" s="255"/>
      <c r="AF117" s="255"/>
    </row>
    <row r="118">
      <c r="A118" s="255"/>
      <c r="B118" s="255"/>
      <c r="C118" t="s" s="292">
        <v>2236</v>
      </c>
      <c r="D118" s="255"/>
      <c r="E118" s="255"/>
      <c r="F118" s="651"/>
      <c r="G118" s="651"/>
      <c r="H118" s="651"/>
      <c r="I118" s="651"/>
      <c r="J118" s="651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  <c r="Z118" s="255"/>
      <c r="AA118" s="255"/>
      <c r="AB118" s="255"/>
      <c r="AC118" s="255"/>
      <c r="AD118" s="255"/>
      <c r="AE118" s="255"/>
      <c r="AF118" s="255"/>
    </row>
    <row r="119">
      <c r="A119" s="255"/>
      <c r="B119" s="255"/>
      <c r="C119" t="s" s="574">
        <v>2230</v>
      </c>
      <c r="D119" s="255"/>
      <c r="E119" s="255"/>
      <c r="F119" s="610">
        <f>'Driver Assumptions'!F42</f>
        <v>0.027201017959324163</v>
      </c>
      <c r="G119" s="610">
        <f>'Driver Assumptions'!G42</f>
        <v>0.027201017959324163</v>
      </c>
      <c r="H119" s="610">
        <f>'Driver Assumptions'!H42</f>
        <v>0.027201017959324163</v>
      </c>
      <c r="I119" s="610">
        <f>'Driver Assumptions'!I42</f>
        <v>0.027201017959324163</v>
      </c>
      <c r="J119" s="610">
        <f>'Driver Assumptions'!J42</f>
        <v>0.027201017959324163</v>
      </c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</row>
    <row r="120">
      <c r="A120" s="255"/>
      <c r="B120" s="255"/>
      <c r="C120" t="s" s="574">
        <v>2007</v>
      </c>
      <c r="D120" s="255"/>
      <c r="E120" s="255"/>
      <c r="F120" s="610">
        <f>'Driver Assumptions'!F40</f>
        <v>0.02</v>
      </c>
      <c r="G120" s="610">
        <f>'Driver Assumptions'!G40</f>
        <v>0.02</v>
      </c>
      <c r="H120" s="610">
        <f>'Driver Assumptions'!H40</f>
        <v>0.02</v>
      </c>
      <c r="I120" s="610">
        <f>'Driver Assumptions'!I40</f>
        <v>0.02</v>
      </c>
      <c r="J120" s="610">
        <f>'Driver Assumptions'!J40</f>
        <v>0.02</v>
      </c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</row>
    <row r="121">
      <c r="A121" s="255"/>
      <c r="B121" s="255"/>
      <c r="C121" t="s" s="574">
        <v>632</v>
      </c>
      <c r="D121" s="255"/>
      <c r="E121" s="255"/>
      <c r="F121" s="610">
        <f>'Driver Assumptions'!F41</f>
        <v>0.027201017959324163</v>
      </c>
      <c r="G121" s="610">
        <f>'Driver Assumptions'!G41</f>
        <v>0.027201017959324163</v>
      </c>
      <c r="H121" s="610">
        <f>'Driver Assumptions'!H41</f>
        <v>0.027201017959324163</v>
      </c>
      <c r="I121" s="610">
        <f>'Driver Assumptions'!I41</f>
        <v>0.027201017959324163</v>
      </c>
      <c r="J121" s="610">
        <f>'Driver Assumptions'!J41</f>
        <v>0.027201017959324163</v>
      </c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  <c r="V121" s="255"/>
      <c r="W121" s="255"/>
      <c r="X121" s="255"/>
      <c r="Y121" s="255"/>
      <c r="Z121" s="255"/>
      <c r="AA121" s="255"/>
      <c r="AB121" s="255"/>
      <c r="AC121" s="255"/>
      <c r="AD121" s="255"/>
      <c r="AE121" s="255"/>
      <c r="AF121" s="255"/>
    </row>
    <row r="122">
      <c r="A122" s="255"/>
      <c r="B122" s="255"/>
      <c r="C122" t="s" s="574">
        <v>633</v>
      </c>
      <c r="D122" s="255"/>
      <c r="E122" s="255"/>
      <c r="F122" s="610">
        <f>'Driver Assumptions'!F39</f>
        <v>0.027201017959324163</v>
      </c>
      <c r="G122" s="610">
        <f>'Driver Assumptions'!G39</f>
        <v>0.027201017959324163</v>
      </c>
      <c r="H122" s="610">
        <f>'Driver Assumptions'!H39</f>
        <v>0.027201017959324163</v>
      </c>
      <c r="I122" s="610">
        <f>'Driver Assumptions'!I39</f>
        <v>0.027201017959324163</v>
      </c>
      <c r="J122" s="610">
        <f>'Driver Assumptions'!J39</f>
        <v>0.027201017959324163</v>
      </c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</row>
    <row r="123">
      <c r="A123" s="25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</row>
    <row r="124">
      <c r="A124" s="255"/>
      <c r="B124" s="255"/>
      <c r="C124" t="s" s="579">
        <v>2237</v>
      </c>
      <c r="D124" s="579"/>
      <c r="E124" s="579"/>
      <c r="F124" s="579"/>
      <c r="G124" s="579"/>
      <c r="H124" s="579"/>
      <c r="I124" s="579"/>
      <c r="J124" s="579"/>
      <c r="K124" s="579"/>
      <c r="L124" s="579"/>
      <c r="M124" s="579"/>
      <c r="N124" s="579"/>
      <c r="O124" s="579"/>
      <c r="P124" s="579"/>
      <c r="Q124" s="579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</row>
    <row r="125">
      <c r="A125" s="255"/>
      <c r="B125" s="255"/>
      <c r="C125" t="s" s="255">
        <v>2238</v>
      </c>
      <c r="D125" s="255"/>
      <c r="E125" s="610">
        <f>Model!M5</f>
        <v>0.2</v>
      </c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</row>
    <row r="126">
      <c r="A126" s="255"/>
      <c r="B126" s="255"/>
      <c r="C126" t="s" s="255">
        <v>2239</v>
      </c>
      <c r="D126" s="255"/>
      <c r="E126" s="653">
        <v>2</v>
      </c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</row>
    <row r="127">
      <c r="A127" s="25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  <c r="V127" s="255"/>
      <c r="W127" s="255"/>
      <c r="X127" s="255"/>
      <c r="Y127" s="255"/>
      <c r="Z127" s="255"/>
      <c r="AA127" s="255"/>
      <c r="AB127" s="255"/>
      <c r="AC127" s="255"/>
      <c r="AD127" s="255"/>
      <c r="AE127" s="255"/>
      <c r="AF127" s="255"/>
    </row>
    <row r="128">
      <c r="A128" s="255"/>
      <c r="B128" s="255"/>
      <c r="C128" s="255"/>
      <c r="D128" t="s" s="654">
        <v>2008</v>
      </c>
      <c r="E128" s="654"/>
      <c r="F128" s="654"/>
      <c r="G128" t="s" s="654">
        <v>2007</v>
      </c>
      <c r="H128" s="654"/>
      <c r="I128" s="654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</row>
    <row r="129">
      <c r="A129" s="255"/>
      <c r="B129" s="255"/>
      <c r="C129" s="255"/>
      <c r="D129" t="s" s="580">
        <v>631</v>
      </c>
      <c r="E129" t="str" s="580">
        <f>"@ "&amp;TEXT($E$125,"0.0%")&amp;" IRR"</f>
        <v>@ 20.0% IRR</v>
      </c>
      <c r="F129" t="str" s="580">
        <f>"@ "&amp;TEXT($E$126,"0.0x")&amp;" MOIC"</f>
        <v>@ 2.0x MOIC</v>
      </c>
      <c r="G129" t="s" s="580">
        <v>631</v>
      </c>
      <c r="H129" t="str" s="580">
        <f>"@ "&amp;TEXT($E$125,"0.0%")&amp;" IRR"</f>
        <v>@ 20.0% IRR</v>
      </c>
      <c r="I129" t="str" s="580">
        <f>"@ "&amp;TEXT($E$126,"0.0x")&amp;" MOIC"</f>
        <v>@ 2.0x MOIC</v>
      </c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</row>
    <row r="130">
      <c r="A130" s="255"/>
      <c r="B130" s="255"/>
      <c r="C130" t="s" s="292">
        <v>2240</v>
      </c>
      <c r="D130" s="655">
        <f>O89</f>
        <v>25.041255617597592</v>
      </c>
      <c r="E130" s="655">
        <f>(N89*(1+$E$125)^P89+M89)/L89</f>
        <v>24.197727064362436</v>
      </c>
      <c r="F130" s="655">
        <f>($E$126*N89+M89)/L89</f>
        <v>21.671734259577107</v>
      </c>
      <c r="G130" s="655">
        <f>O90</f>
        <v>24.75171931344359</v>
      </c>
      <c r="H130" s="655">
        <f>(N90*(1+$E$125)^P90+M90)/L90</f>
        <v>16.568386246863557</v>
      </c>
      <c r="I130" s="655">
        <f>($E$126*N90+M90)/L90</f>
        <v>14.776743257111308</v>
      </c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5"/>
      <c r="Z130" s="255"/>
      <c r="AA130" s="255"/>
      <c r="AB130" s="255"/>
      <c r="AC130" s="255"/>
      <c r="AD130" s="255"/>
      <c r="AE130" s="255"/>
      <c r="AF130" s="255"/>
    </row>
    <row r="131">
      <c r="A131" s="255"/>
      <c r="B131" s="255"/>
      <c r="C131" t="s" s="574">
        <v>2241</v>
      </c>
      <c r="D131" s="595"/>
      <c r="E131" s="595">
        <f>E130-D130</f>
        <v>-0.8435285532351564</v>
      </c>
      <c r="F131" s="595">
        <f>F130-D130</f>
        <v>-3.369521358020485</v>
      </c>
      <c r="G131" s="595"/>
      <c r="H131" s="595">
        <f>H130-G130</f>
        <v>-8.183333066580033</v>
      </c>
      <c r="I131" s="595">
        <f>I130-G130</f>
        <v>-9.974976056332283</v>
      </c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55"/>
      <c r="W131" s="255"/>
      <c r="X131" s="255"/>
      <c r="Y131" s="255"/>
      <c r="Z131" s="255"/>
      <c r="AA131" s="255"/>
      <c r="AB131" s="255"/>
      <c r="AC131" s="255"/>
      <c r="AD131" s="255"/>
      <c r="AE131" s="255"/>
      <c r="AF131" s="255"/>
    </row>
    <row r="132">
      <c r="A132" s="255"/>
      <c r="B132" s="255"/>
      <c r="C132" t="s" s="292">
        <v>1984</v>
      </c>
      <c r="D132" s="656"/>
      <c r="E132" s="656">
        <f>IFERROR(INDEX($D$141:$D$177,MATCH($E$125,$E$141:$E$177,1))+($E$125-INDEX($E$141:$E$177,MATCH($E$125,$E$141:$E$177,1)))*(INDEX($D$141:$D$177,MATCH($E$125,$E$141:$E$177,1)+1)-INDEX($D$141:$D$177,MATCH($E$125,$E$141:$E$177,1)))/(INDEX($E$141:$E$177,MATCH($E$125,$E$141:$E$177,1)+1)-INDEX($E$141:$E$177,MATCH($E$125,$E$141:$E$177,1))),"n.m.")</f>
        <v>-0.6035960278186439</v>
      </c>
      <c r="F132" s="656">
        <f>IFERROR(INDEX($G$141:$G$177,MATCH($E$126,$H$141:$H$177,1))+($E$126-INDEX($H$141:$H$177,MATCH($E$126,$H$141:$H$177,1)))*(INDEX($G$141:$G$177,MATCH($E$126,$H$141:$H$177,1)+1)-INDEX($G$141:$G$177,MATCH($E$126,$H$141:$H$177,1)))/(INDEX($H$141:$H$177,MATCH($E$126,$H$141:$H$177,1)+1)-INDEX($H$141:$H$177,MATCH($E$126,$H$141:$H$177,1))),"n.m.")</f>
        <v>-2.510771831785286</v>
      </c>
      <c r="G132" s="656"/>
      <c r="H132" s="656">
        <f>IFERROR(INDEX($D$141:$D$177,MATCH($E$125,$F$141:$F$177,1))+($E$125-INDEX($F$141:$F$177,MATCH($E$125,$F$141:$F$177,1)))*(INDEX($D$141:$D$177,MATCH($E$125,$F$141:$F$177,1)+1)-INDEX($D$141:$D$177,MATCH($E$125,$F$141:$F$177,1)))/(INDEX($F$141:$F$177,MATCH($E$125,$F$141:$F$177,1)+1)-INDEX($F$141:$F$177,MATCH($E$125,$F$141:$F$177,1))),"n.m.")</f>
        <v>-7.0948703070498125</v>
      </c>
      <c r="I132" s="656">
        <f>IFERROR(INDEX($G$141:$G$177,MATCH($E$126,$I$141:$I$177,1))+($E$126-INDEX($I$141:$I$177,MATCH($E$126,$I$141:$I$177,1)))*(INDEX($G$141:$G$177,MATCH($E$126,$I$141:$I$177,1)+1)-INDEX($G$141:$G$177,MATCH($E$126,$I$141:$I$177,1)))/(INDEX($I$141:$I$177,MATCH($E$126,$I$141:$I$177,1)+1)-INDEX($I$141:$I$177,MATCH($E$126,$I$141:$I$177,1))),"n.m.")</f>
        <v>-8.982836601544065</v>
      </c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55"/>
      <c r="W132" s="255"/>
      <c r="X132" s="255"/>
      <c r="Y132" s="255"/>
      <c r="Z132" s="255"/>
      <c r="AA132" s="255"/>
      <c r="AB132" s="255"/>
      <c r="AC132" s="255"/>
      <c r="AD132" s="255"/>
      <c r="AE132" s="255"/>
      <c r="AF132" s="255"/>
    </row>
    <row r="133">
      <c r="A133" s="255"/>
      <c r="B133" s="255"/>
      <c r="C133" t="s" s="574">
        <v>2242</v>
      </c>
      <c r="D133" s="618">
        <f>AVERAGE('Driver Assumptions'!$G$12:$J$12)+Model!$E$13</f>
        <v>0.12119371474853902</v>
      </c>
      <c r="E133" s="618">
        <f>$D133+E132/100</f>
        <v>0.11515775447035258</v>
      </c>
      <c r="F133" s="618">
        <f>$D133+F132/100</f>
        <v>0.09608599643068616</v>
      </c>
      <c r="G133" s="618">
        <f>AVERAGE('Driver Assumptions'!$G$10:$J$10)+Model!$E$13</f>
        <v>0.17749850755115198</v>
      </c>
      <c r="H133" s="618">
        <f>$G133+H132/100</f>
        <v>0.10654980448065386</v>
      </c>
      <c r="I133" s="618">
        <f>$G133+I132/100</f>
        <v>0.08767014153571133</v>
      </c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</row>
    <row r="134">
      <c r="A134" s="255"/>
      <c r="B134" s="255"/>
      <c r="C134" t="s" s="292">
        <v>2165</v>
      </c>
      <c r="D134" s="656"/>
      <c r="E134" s="656">
        <f>IFERROR(INDEX($J$141:$J$177,MATCH($E$125,$K$141:$K$177,1))+($E$125-INDEX($K$141:$K$177,MATCH($E$125,$K$141:$K$177,1)))*(INDEX($J$141:$J$177,MATCH($E$125,$K$141:$K$177,1)+1)-INDEX($J$141:$J$177,MATCH($E$125,$K$141:$K$177,1)))/(INDEX($K$141:$K$177,MATCH($E$125,$K$141:$K$177,1)+1)-INDEX($K$141:$K$177,MATCH($E$125,$K$141:$K$177,1))),"n.m.")</f>
        <v>-1.138423018689962</v>
      </c>
      <c r="F134" s="656">
        <f>IFERROR(INDEX($M$141:$M$177,MATCH($E$126,$N$141:$N$177,1))+($E$126-INDEX($N$141:$N$177,MATCH($E$126,$N$141:$N$177,1)))*(INDEX($M$141:$M$177,MATCH($E$126,$N$141:$N$177,1)+1)-INDEX($M$141:$M$177,MATCH($E$126,$N$141:$N$177,1)))/(INDEX($N$141:$N$177,MATCH($E$126,$N$141:$N$177,1)+1)-INDEX($N$141:$N$177,MATCH($E$126,$N$141:$N$177,1))),"n.m.")</f>
        <v>-4.530010721198812</v>
      </c>
      <c r="G134" s="656"/>
      <c r="H134" s="656">
        <f>IFERROR(INDEX($J$141:$J$177,MATCH($E$125,$L$141:$L$177,1))+($E$125-INDEX($L$141:$L$177,MATCH($E$125,$L$141:$L$177,1)))*(INDEX($J$141:$J$177,MATCH($E$125,$L$141:$L$177,1)+1)-INDEX($J$141:$J$177,MATCH($E$125,$L$141:$L$177,1)))/(INDEX($L$141:$L$177,MATCH($E$125,$L$141:$L$177,1)+1)-INDEX($L$141:$L$177,MATCH($E$125,$L$141:$L$177,1))),"n.m.")</f>
        <v>-12.398014144231942</v>
      </c>
      <c r="I134" s="656">
        <f>IFERROR(INDEX($M$141:$M$177,MATCH($E$126,$O$141:$O$177,1))+($E$126-INDEX($O$141:$O$177,MATCH($E$126,$O$141:$O$177,1)))*(INDEX($M$141:$M$177,MATCH($E$126,$O$141:$O$177,1)+1)-INDEX($M$141:$M$177,MATCH($E$126,$O$141:$O$177,1)))/(INDEX($O$141:$O$177,MATCH($E$126,$O$141:$O$177,1)+1)-INDEX($O$141:$O$177,MATCH($E$126,$O$141:$O$177,1))),"n.m.")</f>
        <v>-15.120993662891845</v>
      </c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</row>
    <row r="135">
      <c r="A135" s="255"/>
      <c r="B135" s="255"/>
      <c r="C135" t="s" s="574">
        <v>2185</v>
      </c>
      <c r="D135" s="618">
        <f>'Driver Assumptions'!$J$18+Model!$I$13</f>
        <v>0.38762306130400337</v>
      </c>
      <c r="E135" s="618">
        <f>$D135+E134/100</f>
        <v>0.37623883111710377</v>
      </c>
      <c r="F135" s="618">
        <f>$D135+F134/100</f>
        <v>0.34232295409201524</v>
      </c>
      <c r="G135" s="618">
        <f>'Driver Assumptions'!$J$16+Model!$I$13</f>
        <v>0.4222468179302712</v>
      </c>
      <c r="H135" s="618">
        <f>$G135+H134/100</f>
        <v>0.2982666764879518</v>
      </c>
      <c r="I135" s="618">
        <f>$G135+I134/100</f>
        <v>0.27103688130135273</v>
      </c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</row>
    <row r="136">
      <c r="A136" s="25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</row>
    <row r="137">
      <c r="A137" s="25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</row>
    <row r="138">
      <c r="A138" s="255"/>
      <c r="B138" s="255"/>
      <c r="C138" t="s" s="579">
        <v>2243</v>
      </c>
      <c r="D138" s="579"/>
      <c r="E138" s="579"/>
      <c r="F138" s="579"/>
      <c r="G138" s="579"/>
      <c r="H138" s="579"/>
      <c r="I138" s="579"/>
      <c r="J138" s="579"/>
      <c r="K138" s="579"/>
      <c r="L138" s="579"/>
      <c r="M138" s="579"/>
      <c r="N138" s="579"/>
      <c r="O138" s="579"/>
      <c r="P138" s="579"/>
      <c r="Q138" s="579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</row>
    <row r="139" outlineLevel="1">
      <c r="A139" s="255"/>
      <c r="B139" s="255"/>
      <c r="C139" s="255"/>
      <c r="D139" t="s" s="292">
        <v>2244</v>
      </c>
      <c r="E139" s="255"/>
      <c r="F139" s="255"/>
      <c r="G139" t="s" s="292">
        <v>2248</v>
      </c>
      <c r="H139" s="255"/>
      <c r="I139" s="255"/>
      <c r="J139" t="s" s="292">
        <v>2250</v>
      </c>
      <c r="K139" s="255"/>
      <c r="L139" s="255"/>
      <c r="M139" t="s" s="292">
        <v>2254</v>
      </c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</row>
    <row r="140" outlineLevel="1">
      <c r="A140" s="255"/>
      <c r="B140" s="255"/>
      <c r="C140" s="255"/>
      <c r="D140" s="619">
        <f>IFERROR(Model!I204,-1)</f>
        <v>0.21071793437004088</v>
      </c>
      <c r="E140" s="657">
        <v>4</v>
      </c>
      <c r="F140" s="658">
        <v>2</v>
      </c>
      <c r="G140" s="619">
        <f>IFERROR(Model!I205,0)</f>
        <v>2.3735574644539157</v>
      </c>
      <c r="H140" s="657">
        <v>4</v>
      </c>
      <c r="I140" s="658">
        <v>2</v>
      </c>
      <c r="J140" s="619">
        <f>IFERROR(Model!I204,-1)</f>
        <v>0.21071793437004088</v>
      </c>
      <c r="K140" s="657">
        <v>4</v>
      </c>
      <c r="L140" s="658">
        <v>2</v>
      </c>
      <c r="M140" s="619">
        <f>IFERROR(Model!I205,0)</f>
        <v>2.3735574644539157</v>
      </c>
      <c r="N140" s="657">
        <v>4</v>
      </c>
      <c r="O140" s="658">
        <v>2</v>
      </c>
      <c r="P140" s="255"/>
      <c r="Q140" s="255"/>
      <c r="R140" s="255"/>
      <c r="S140" s="255"/>
      <c r="T140" s="255"/>
      <c r="U140" s="255"/>
      <c r="V140" s="255"/>
      <c r="W140" s="255"/>
      <c r="X140" s="255"/>
      <c r="Y140" s="255"/>
      <c r="Z140" s="255"/>
      <c r="AA140" s="255"/>
      <c r="AB140" s="255"/>
      <c r="AC140" s="255"/>
      <c r="AD140" s="255"/>
      <c r="AE140" s="255"/>
      <c r="AF140" s="255"/>
    </row>
    <row r="141" outlineLevel="1">
      <c r="A141" s="255"/>
      <c r="B141" s="255"/>
      <c r="C141" s="255"/>
      <c r="D141" s="659">
        <v>-16</v>
      </c>
      <c r="E141" s="618">
        <f t="dataTable" ref="E141:F177" dt2D="1" dtr="1" r1="E20" r2="E11"/>
        <v>-0.11665796972811221</v>
      </c>
      <c r="F141" s="618">
        <v>0.029053565859794617</v>
      </c>
      <c r="G141" s="659">
        <v>-16</v>
      </c>
      <c r="H141" s="623">
        <f t="dataTable" ref="H141:I177" dt2D="1" dtr="1" r1="E20" r2="E11"/>
        <v>0.5707857072341708</v>
      </c>
      <c r="I141" s="623">
        <v>1.1382207312304615</v>
      </c>
      <c r="J141" s="659">
        <v>-16</v>
      </c>
      <c r="K141" s="618">
        <f t="dataTable" ref="K141:L177" dt2D="1" dtr="1" r1="E20" r2="E12"/>
        <v>0.012520840764045717</v>
      </c>
      <c r="L141" s="618">
        <v>0.15365964770317075</v>
      </c>
      <c r="M141" s="659">
        <v>-16</v>
      </c>
      <c r="N141" s="623">
        <f t="dataTable" ref="N141:O177" dt2D="1" dtr="1" r1="E20" r2="E12"/>
        <v>1.057861726756387</v>
      </c>
      <c r="O141" s="623">
        <v>1.908205901747832</v>
      </c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</row>
    <row r="142" outlineLevel="1">
      <c r="A142" s="255"/>
      <c r="B142" s="255"/>
      <c r="C142" s="255"/>
      <c r="D142" s="659">
        <v>-15.5</v>
      </c>
      <c r="E142" s="618">
        <v>-0.1038744542747736</v>
      </c>
      <c r="F142" s="618">
        <v>0.03935208022594451</v>
      </c>
      <c r="G142" s="659">
        <v>-15.5</v>
      </c>
      <c r="H142" s="623">
        <v>0.6090895400589552</v>
      </c>
      <c r="I142" s="623">
        <v>1.1906292445979272</v>
      </c>
      <c r="J142" s="659">
        <v>-15.5</v>
      </c>
      <c r="K142" s="618">
        <v>0.02102092206478119</v>
      </c>
      <c r="L142" s="618">
        <v>0.16064881682395937</v>
      </c>
      <c r="M142" s="659">
        <v>-15.5</v>
      </c>
      <c r="N142" s="623">
        <v>1.0986048956558483</v>
      </c>
      <c r="O142" s="623">
        <v>1.961025365511675</v>
      </c>
      <c r="P142" s="255"/>
      <c r="Q142" s="255"/>
      <c r="R142" s="255"/>
      <c r="S142" s="255"/>
      <c r="T142" s="255"/>
      <c r="U142" s="255"/>
      <c r="V142" s="255"/>
      <c r="W142" s="255"/>
      <c r="X142" s="255"/>
      <c r="Y142" s="255"/>
      <c r="Z142" s="255"/>
      <c r="AA142" s="255"/>
      <c r="AB142" s="255"/>
      <c r="AC142" s="255"/>
      <c r="AD142" s="255"/>
      <c r="AE142" s="255"/>
      <c r="AF142" s="255"/>
    </row>
    <row r="143" outlineLevel="1">
      <c r="A143" s="255"/>
      <c r="B143" s="255"/>
      <c r="C143" s="255"/>
      <c r="D143" s="659">
        <v>-15</v>
      </c>
      <c r="E143" s="618">
        <v>-0.09141118824481965</v>
      </c>
      <c r="F143" s="618">
        <v>0.04978840649127961</v>
      </c>
      <c r="G143" s="659">
        <v>-15</v>
      </c>
      <c r="H143" s="623">
        <v>0.6483324605778792</v>
      </c>
      <c r="I143" s="623">
        <v>1.2456372218485647</v>
      </c>
      <c r="J143" s="659">
        <v>-15</v>
      </c>
      <c r="K143" s="618">
        <v>0.02927893698215485</v>
      </c>
      <c r="L143" s="618">
        <v>0.16731294989585874</v>
      </c>
      <c r="M143" s="659">
        <v>-15</v>
      </c>
      <c r="N143" s="623">
        <v>1.1393480645553629</v>
      </c>
      <c r="O143" s="623">
        <v>2.012442229390132</v>
      </c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</row>
    <row r="144" outlineLevel="1">
      <c r="A144" s="255"/>
      <c r="B144" s="255"/>
      <c r="C144" s="255"/>
      <c r="D144" s="659">
        <v>-14.5</v>
      </c>
      <c r="E144" s="618">
        <v>-0.07923878133296969</v>
      </c>
      <c r="F144" s="618">
        <v>0.059854492545127855</v>
      </c>
      <c r="G144" s="659">
        <v>-14.5</v>
      </c>
      <c r="H144" s="623">
        <v>0.6885331972187632</v>
      </c>
      <c r="I144" s="623">
        <v>1.3005494392395112</v>
      </c>
      <c r="J144" s="659">
        <v>-14.5</v>
      </c>
      <c r="K144" s="618">
        <v>0.03731008470058442</v>
      </c>
      <c r="L144" s="618">
        <v>0.17384577393531803</v>
      </c>
      <c r="M144" s="659">
        <v>-14.5</v>
      </c>
      <c r="N144" s="623">
        <v>1.1800912334548777</v>
      </c>
      <c r="O144" s="623">
        <v>2.063859093268585</v>
      </c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255"/>
      <c r="AD144" s="255"/>
      <c r="AE144" s="255"/>
      <c r="AF144" s="255"/>
    </row>
    <row r="145" outlineLevel="1">
      <c r="A145" s="255"/>
      <c r="B145" s="255"/>
      <c r="C145" s="255"/>
      <c r="D145" s="659">
        <v>-14</v>
      </c>
      <c r="E145" s="618">
        <v>-0.06731723845005037</v>
      </c>
      <c r="F145" s="618">
        <v>0.06981960833072663</v>
      </c>
      <c r="G145" s="659">
        <v>-14</v>
      </c>
      <c r="H145" s="623">
        <v>0.7297613720764186</v>
      </c>
      <c r="I145" s="623">
        <v>1.3567498031881366</v>
      </c>
      <c r="J145" s="659">
        <v>-14</v>
      </c>
      <c r="K145" s="618">
        <v>0.045128104090690624</v>
      </c>
      <c r="L145" s="618">
        <v>0.18026005625724795</v>
      </c>
      <c r="M145" s="659">
        <v>-14</v>
      </c>
      <c r="N145" s="623">
        <v>1.220834402354392</v>
      </c>
      <c r="O145" s="623">
        <v>2.1153326726030106</v>
      </c>
      <c r="P145" s="255"/>
      <c r="Q145" s="255"/>
      <c r="R145" s="255"/>
      <c r="S145" s="255"/>
      <c r="T145" s="255"/>
      <c r="U145" s="255"/>
      <c r="V145" s="255"/>
      <c r="W145" s="255"/>
      <c r="X145" s="255"/>
      <c r="Y145" s="255"/>
      <c r="Z145" s="255"/>
      <c r="AA145" s="255"/>
      <c r="AB145" s="255"/>
      <c r="AC145" s="255"/>
      <c r="AD145" s="255"/>
      <c r="AE145" s="255"/>
      <c r="AF145" s="255"/>
    </row>
    <row r="146" outlineLevel="1">
      <c r="A146" s="255"/>
      <c r="B146" s="255"/>
      <c r="C146" s="255"/>
      <c r="D146" s="659">
        <v>-13.5</v>
      </c>
      <c r="E146" s="618">
        <v>-0.05563210546970368</v>
      </c>
      <c r="F146" s="618">
        <v>0.07970049083232882</v>
      </c>
      <c r="G146" s="659">
        <v>-13.5</v>
      </c>
      <c r="H146" s="623">
        <v>0.7720130926913745</v>
      </c>
      <c r="I146" s="623">
        <v>1.4143248018410914</v>
      </c>
      <c r="J146" s="659">
        <v>-13.5</v>
      </c>
      <c r="K146" s="618">
        <v>0.05274549424648285</v>
      </c>
      <c r="L146" s="618">
        <v>0.18654828667640685</v>
      </c>
      <c r="M146" s="659">
        <v>-13.5</v>
      </c>
      <c r="N146" s="623">
        <v>1.2615775712539068</v>
      </c>
      <c r="O146" s="623">
        <v>2.166759911180741</v>
      </c>
      <c r="P146" s="255"/>
      <c r="Q146" s="255"/>
      <c r="R146" s="255"/>
      <c r="S146" s="255"/>
      <c r="T146" s="255"/>
      <c r="U146" s="255"/>
      <c r="V146" s="255"/>
      <c r="W146" s="255"/>
      <c r="X146" s="255"/>
      <c r="Y146" s="255"/>
      <c r="Z146" s="255"/>
      <c r="AA146" s="255"/>
      <c r="AB146" s="255"/>
      <c r="AC146" s="255"/>
      <c r="AD146" s="255"/>
      <c r="AE146" s="255"/>
      <c r="AF146" s="255"/>
    </row>
    <row r="147" outlineLevel="1">
      <c r="A147" s="255"/>
      <c r="B147" s="255"/>
      <c r="C147" s="255"/>
      <c r="D147" s="659">
        <v>-13</v>
      </c>
      <c r="E147" s="618">
        <v>-0.04417107403278352</v>
      </c>
      <c r="F147" s="618">
        <v>0.08971459567546845</v>
      </c>
      <c r="G147" s="659">
        <v>-13</v>
      </c>
      <c r="H147" s="623">
        <v>0.8152815395887841</v>
      </c>
      <c r="I147" s="623">
        <v>1.4745997373470061</v>
      </c>
      <c r="J147" s="659">
        <v>-13</v>
      </c>
      <c r="K147" s="618">
        <v>0.06018052399158477</v>
      </c>
      <c r="L147" s="618">
        <v>0.19272186160087584</v>
      </c>
      <c r="M147" s="659">
        <v>-13</v>
      </c>
      <c r="N147" s="623">
        <v>1.3023589450661488</v>
      </c>
      <c r="O147" s="623">
        <v>2.218191442242386</v>
      </c>
      <c r="P147" s="255"/>
      <c r="Q147" s="255"/>
      <c r="R147" s="255"/>
      <c r="S147" s="255"/>
      <c r="T147" s="255"/>
      <c r="U147" s="255"/>
      <c r="V147" s="255"/>
      <c r="W147" s="255"/>
      <c r="X147" s="255"/>
      <c r="Y147" s="255"/>
      <c r="Z147" s="255"/>
      <c r="AA147" s="255"/>
      <c r="AB147" s="255"/>
      <c r="AC147" s="255"/>
      <c r="AD147" s="255"/>
      <c r="AE147" s="255"/>
      <c r="AF147" s="255"/>
    </row>
    <row r="148" outlineLevel="1">
      <c r="A148" s="255"/>
      <c r="B148" s="255"/>
      <c r="C148" s="255"/>
      <c r="D148" s="659">
        <v>-12.5</v>
      </c>
      <c r="E148" s="618">
        <v>-0.03291628658771516</v>
      </c>
      <c r="F148" s="618">
        <v>0.09939824938774108</v>
      </c>
      <c r="G148" s="659">
        <v>-12.5</v>
      </c>
      <c r="H148" s="623">
        <v>0.8595865945696151</v>
      </c>
      <c r="I148" s="623">
        <v>1.5347701598305914</v>
      </c>
      <c r="J148" s="659">
        <v>-12.5</v>
      </c>
      <c r="K148" s="618">
        <v>0.06745809614658357</v>
      </c>
      <c r="L148" s="618">
        <v>0.19878494143486022</v>
      </c>
      <c r="M148" s="659">
        <v>-12.5</v>
      </c>
      <c r="N148" s="623">
        <v>1.3432637884038343</v>
      </c>
      <c r="O148" s="623">
        <v>2.2696229733040303</v>
      </c>
      <c r="P148" s="255"/>
      <c r="Q148" s="255"/>
      <c r="R148" s="255"/>
      <c r="S148" s="255"/>
      <c r="T148" s="255"/>
      <c r="U148" s="255"/>
      <c r="V148" s="255"/>
      <c r="W148" s="255"/>
      <c r="X148" s="255"/>
      <c r="Y148" s="255"/>
      <c r="Z148" s="255"/>
      <c r="AA148" s="255"/>
      <c r="AB148" s="255"/>
      <c r="AC148" s="255"/>
      <c r="AD148" s="255"/>
      <c r="AE148" s="255"/>
      <c r="AF148" s="255"/>
    </row>
    <row r="149" outlineLevel="1">
      <c r="A149" s="255"/>
      <c r="B149" s="255"/>
      <c r="C149" s="255"/>
      <c r="D149" s="659">
        <v>-12</v>
      </c>
      <c r="E149" s="618">
        <v>-0.021851786971092222</v>
      </c>
      <c r="F149" s="618">
        <v>0.10900201201438903</v>
      </c>
      <c r="G149" s="659">
        <v>-12</v>
      </c>
      <c r="H149" s="623">
        <v>0.9049484321906899</v>
      </c>
      <c r="I149" s="623">
        <v>1.5963156627505528</v>
      </c>
      <c r="J149" s="659">
        <v>-12</v>
      </c>
      <c r="K149" s="618">
        <v>0.07456506788730623</v>
      </c>
      <c r="L149" s="618">
        <v>0.2047419369220734</v>
      </c>
      <c r="M149" s="659">
        <v>-12</v>
      </c>
      <c r="N149" s="623">
        <v>1.3841686317415236</v>
      </c>
      <c r="O149" s="623">
        <v>2.321054504365675</v>
      </c>
      <c r="P149" s="255"/>
      <c r="Q149" s="255"/>
      <c r="R149" s="255"/>
      <c r="S149" s="255"/>
      <c r="T149" s="255"/>
      <c r="U149" s="255"/>
      <c r="V149" s="255"/>
      <c r="W149" s="255"/>
      <c r="X149" s="255"/>
      <c r="Y149" s="255"/>
      <c r="Z149" s="255"/>
      <c r="AA149" s="255"/>
      <c r="AB149" s="255"/>
      <c r="AC149" s="255"/>
      <c r="AD149" s="255"/>
      <c r="AE149" s="255"/>
      <c r="AF149" s="255"/>
    </row>
    <row r="150" outlineLevel="1">
      <c r="A150" s="255"/>
      <c r="B150" s="255"/>
      <c r="C150" s="255"/>
      <c r="D150" s="659">
        <v>-11.5</v>
      </c>
      <c r="E150" s="618">
        <v>-0.010963305830955509</v>
      </c>
      <c r="F150" s="618">
        <v>0.11853051781654358</v>
      </c>
      <c r="G150" s="659">
        <v>-11.5</v>
      </c>
      <c r="H150" s="623">
        <v>0.9513875226345822</v>
      </c>
      <c r="I150" s="623">
        <v>1.6592616792884982</v>
      </c>
      <c r="J150" s="659">
        <v>-11.5</v>
      </c>
      <c r="K150" s="618">
        <v>0.08152488768100741</v>
      </c>
      <c r="L150" s="618">
        <v>0.2105970203876496</v>
      </c>
      <c r="M150" s="659">
        <v>-11.5</v>
      </c>
      <c r="N150" s="623">
        <v>1.4251602841337039</v>
      </c>
      <c r="O150" s="623">
        <v>2.37248603542732</v>
      </c>
      <c r="P150" s="255"/>
      <c r="Q150" s="255"/>
      <c r="R150" s="255"/>
      <c r="S150" s="255"/>
      <c r="T150" s="255"/>
      <c r="U150" s="255"/>
      <c r="V150" s="255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</row>
    <row r="151" outlineLevel="1">
      <c r="A151" s="255"/>
      <c r="B151" s="255"/>
      <c r="C151" s="255"/>
      <c r="D151" s="659">
        <v>-11</v>
      </c>
      <c r="E151" s="618">
        <v>-0.00023798644542694092</v>
      </c>
      <c r="F151" s="618">
        <v>0.127999609708786</v>
      </c>
      <c r="G151" s="659">
        <v>-11</v>
      </c>
      <c r="H151" s="623">
        <v>0.9989246345993545</v>
      </c>
      <c r="I151" s="623">
        <v>1.723713638594806</v>
      </c>
      <c r="J151" s="659">
        <v>-11</v>
      </c>
      <c r="K151" s="618">
        <v>0.08833464086055756</v>
      </c>
      <c r="L151" s="618">
        <v>0.21651882529258734</v>
      </c>
      <c r="M151" s="659">
        <v>-11</v>
      </c>
      <c r="N151" s="623">
        <v>1.466177075934974</v>
      </c>
      <c r="O151" s="623">
        <v>2.425402194504971</v>
      </c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</row>
    <row r="152" outlineLevel="1">
      <c r="A152" s="255"/>
      <c r="B152" s="255"/>
      <c r="C152" s="255"/>
      <c r="D152" s="659">
        <v>-10.5</v>
      </c>
      <c r="E152" s="618">
        <v>0.010336324572563171</v>
      </c>
      <c r="F152" s="618">
        <v>0.1373899281024933</v>
      </c>
      <c r="G152" s="659">
        <v>-10.5</v>
      </c>
      <c r="H152" s="623">
        <v>1.047583428792565</v>
      </c>
      <c r="I152" s="623">
        <v>1.7895384006743393</v>
      </c>
      <c r="J152" s="659">
        <v>-10.5</v>
      </c>
      <c r="K152" s="618">
        <v>0.09499760568141934</v>
      </c>
      <c r="L152" s="618">
        <v>0.22217987179756166</v>
      </c>
      <c r="M152" s="659">
        <v>-10.5</v>
      </c>
      <c r="N152" s="623">
        <v>1.5071938677362444</v>
      </c>
      <c r="O152" s="623">
        <v>2.476843249099329</v>
      </c>
      <c r="P152" s="255"/>
      <c r="Q152" s="255"/>
      <c r="R152" s="255"/>
      <c r="S152" s="255"/>
      <c r="T152" s="255"/>
      <c r="U152" s="255"/>
      <c r="V152" s="255"/>
      <c r="W152" s="255"/>
      <c r="X152" s="255"/>
      <c r="Y152" s="255"/>
      <c r="Z152" s="255"/>
      <c r="AA152" s="255"/>
      <c r="AB152" s="255"/>
      <c r="AC152" s="255"/>
      <c r="AD152" s="255"/>
      <c r="AE152" s="255"/>
      <c r="AF152" s="255"/>
    </row>
    <row r="153" outlineLevel="1">
      <c r="A153" s="255"/>
      <c r="B153" s="255"/>
      <c r="C153" s="255"/>
      <c r="D153" s="659">
        <v>-10</v>
      </c>
      <c r="E153" s="618">
        <v>0.02077188789844513</v>
      </c>
      <c r="F153" s="618">
        <v>0.1467170894145966</v>
      </c>
      <c r="G153" s="659">
        <v>-10</v>
      </c>
      <c r="H153" s="623">
        <v>1.0973941034364956</v>
      </c>
      <c r="I153" s="623">
        <v>1.8568421122719059</v>
      </c>
      <c r="J153" s="659">
        <v>-10</v>
      </c>
      <c r="K153" s="618">
        <v>0.10152081847190858</v>
      </c>
      <c r="L153" s="618">
        <v>0.22775009274482733</v>
      </c>
      <c r="M153" s="659">
        <v>-10</v>
      </c>
      <c r="N153" s="623">
        <v>1.5482106595375142</v>
      </c>
      <c r="O153" s="623">
        <v>2.5282843036938427</v>
      </c>
      <c r="P153" s="255"/>
      <c r="Q153" s="255"/>
      <c r="R153" s="255"/>
      <c r="S153" s="255"/>
      <c r="T153" s="255"/>
      <c r="U153" s="255"/>
      <c r="V153" s="255"/>
      <c r="W153" s="255"/>
      <c r="X153" s="255"/>
      <c r="Y153" s="255"/>
      <c r="Z153" s="255"/>
      <c r="AA153" s="255"/>
      <c r="AB153" s="255"/>
      <c r="AC153" s="255"/>
      <c r="AD153" s="255"/>
      <c r="AE153" s="255"/>
      <c r="AF153" s="255"/>
    </row>
    <row r="154" outlineLevel="1">
      <c r="A154" s="255"/>
      <c r="B154" s="255"/>
      <c r="C154" s="255"/>
      <c r="D154" s="659">
        <v>-9.5</v>
      </c>
      <c r="E154" s="618">
        <v>0.031075760722160343</v>
      </c>
      <c r="F154" s="618">
        <v>0.1559845864772797</v>
      </c>
      <c r="G154" s="659">
        <v>-9.5</v>
      </c>
      <c r="H154" s="623">
        <v>1.14836697699576</v>
      </c>
      <c r="I154" s="623">
        <v>1.9256516417883291</v>
      </c>
      <c r="J154" s="659">
        <v>-9.5</v>
      </c>
      <c r="K154" s="618">
        <v>0.10791079401969911</v>
      </c>
      <c r="L154" s="618">
        <v>0.23323273062705993</v>
      </c>
      <c r="M154" s="659">
        <v>-9.5</v>
      </c>
      <c r="N154" s="623">
        <v>1.5892274513387847</v>
      </c>
      <c r="O154" s="623">
        <v>2.5797253582880924</v>
      </c>
      <c r="P154" s="255"/>
      <c r="Q154" s="255"/>
      <c r="R154" s="255"/>
      <c r="S154" s="255"/>
      <c r="T154" s="255"/>
      <c r="U154" s="255"/>
      <c r="V154" s="255"/>
      <c r="W154" s="255"/>
      <c r="X154" s="255"/>
      <c r="Y154" s="255"/>
      <c r="Z154" s="255"/>
      <c r="AA154" s="255"/>
      <c r="AB154" s="255"/>
      <c r="AC154" s="255"/>
      <c r="AD154" s="255"/>
      <c r="AE154" s="255"/>
      <c r="AF154" s="255"/>
    </row>
    <row r="155" outlineLevel="1">
      <c r="A155" s="255"/>
      <c r="B155" s="255"/>
      <c r="C155" s="255"/>
      <c r="D155" s="659">
        <v>-9</v>
      </c>
      <c r="E155" s="618">
        <v>0.04125666916370392</v>
      </c>
      <c r="F155" s="618">
        <v>0.16539422869682313</v>
      </c>
      <c r="G155" s="659">
        <v>-9</v>
      </c>
      <c r="H155" s="623">
        <v>1.2005240413457172</v>
      </c>
      <c r="I155" s="623">
        <v>1.9975320599618276</v>
      </c>
      <c r="J155" s="659">
        <v>-9</v>
      </c>
      <c r="K155" s="618">
        <v>0.11438369154930117</v>
      </c>
      <c r="L155" s="618">
        <v>0.23863989710807798</v>
      </c>
      <c r="M155" s="659">
        <v>-9</v>
      </c>
      <c r="N155" s="623">
        <v>1.6316343452130402</v>
      </c>
      <c r="O155" s="623">
        <v>2.6312531018807266</v>
      </c>
      <c r="P155" s="255"/>
      <c r="Q155" s="255"/>
      <c r="R155" s="255"/>
      <c r="S155" s="255"/>
      <c r="T155" s="255"/>
      <c r="U155" s="255"/>
      <c r="V155" s="255"/>
      <c r="W155" s="255"/>
      <c r="X155" s="255"/>
      <c r="Y155" s="255"/>
      <c r="Z155" s="255"/>
      <c r="AA155" s="255"/>
      <c r="AB155" s="255"/>
      <c r="AC155" s="255"/>
      <c r="AD155" s="255"/>
      <c r="AE155" s="255"/>
      <c r="AF155" s="255"/>
    </row>
    <row r="156" outlineLevel="1">
      <c r="A156" s="255"/>
      <c r="B156" s="255"/>
      <c r="C156" s="255"/>
      <c r="D156" s="659">
        <v>-8.5</v>
      </c>
      <c r="E156" s="618">
        <v>0.05157533586025238</v>
      </c>
      <c r="F156" s="618">
        <v>0.17454563975334167</v>
      </c>
      <c r="G156" s="659">
        <v>-8.5</v>
      </c>
      <c r="H156" s="623">
        <v>1.2552508857072813</v>
      </c>
      <c r="I156" s="623">
        <v>2.069427496186432</v>
      </c>
      <c r="J156" s="659">
        <v>-8.5</v>
      </c>
      <c r="K156" s="618">
        <v>0.12052003741264342</v>
      </c>
      <c r="L156" s="618">
        <v>0.2439579427242279</v>
      </c>
      <c r="M156" s="659">
        <v>-8.5</v>
      </c>
      <c r="N156" s="623">
        <v>1.6726450367319479</v>
      </c>
      <c r="O156" s="623">
        <v>2.682709832434227</v>
      </c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</row>
    <row r="157" outlineLevel="1">
      <c r="A157" s="255"/>
      <c r="B157" s="255"/>
      <c r="C157" s="255"/>
      <c r="D157" s="659">
        <v>-8</v>
      </c>
      <c r="E157" s="618">
        <v>0.061785492300987246</v>
      </c>
      <c r="F157" s="618">
        <v>0.18364686369895936</v>
      </c>
      <c r="G157" s="659">
        <v>-8</v>
      </c>
      <c r="H157" s="623">
        <v>1.311295436424804</v>
      </c>
      <c r="I157" s="623">
        <v>2.142911551566824</v>
      </c>
      <c r="J157" s="659">
        <v>-8</v>
      </c>
      <c r="K157" s="618">
        <v>0.12654029726982116</v>
      </c>
      <c r="L157" s="618">
        <v>0.24919713139533994</v>
      </c>
      <c r="M157" s="659">
        <v>-8</v>
      </c>
      <c r="N157" s="623">
        <v>1.7136557282508555</v>
      </c>
      <c r="O157" s="623">
        <v>2.734166562987668</v>
      </c>
      <c r="P157" s="255"/>
      <c r="Q157" s="255"/>
      <c r="R157" s="255"/>
      <c r="S157" s="255"/>
      <c r="T157" s="255"/>
      <c r="U157" s="255"/>
      <c r="V157" s="255"/>
      <c r="W157" s="255"/>
      <c r="X157" s="255"/>
      <c r="Y157" s="255"/>
      <c r="Z157" s="255"/>
      <c r="AA157" s="255"/>
      <c r="AB157" s="255"/>
      <c r="AC157" s="255"/>
      <c r="AD157" s="255"/>
      <c r="AE157" s="255"/>
      <c r="AF157" s="255"/>
    </row>
    <row r="158" outlineLevel="1">
      <c r="A158" s="255"/>
      <c r="B158" s="255"/>
      <c r="C158" s="255"/>
      <c r="D158" s="659">
        <v>-7.5</v>
      </c>
      <c r="E158" s="618">
        <v>0.07163769900798798</v>
      </c>
      <c r="F158" s="618">
        <v>0.19270058274269106</v>
      </c>
      <c r="G158" s="659">
        <v>-7.5</v>
      </c>
      <c r="H158" s="623">
        <v>1.3672040888696817</v>
      </c>
      <c r="I158" s="623">
        <v>2.2180125828681962</v>
      </c>
      <c r="J158" s="659">
        <v>-7.5</v>
      </c>
      <c r="K158" s="618">
        <v>0.1324580371379852</v>
      </c>
      <c r="L158" s="618">
        <v>0.2543600857257843</v>
      </c>
      <c r="M158" s="659">
        <v>-7.5</v>
      </c>
      <c r="N158" s="623">
        <v>1.7547271118549108</v>
      </c>
      <c r="O158" s="623">
        <v>2.7856232935411342</v>
      </c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</row>
    <row r="159" outlineLevel="1">
      <c r="A159" s="255"/>
      <c r="B159" s="255"/>
      <c r="C159" s="255"/>
      <c r="D159" s="659">
        <v>-7</v>
      </c>
      <c r="E159" s="618">
        <v>0.08138557970523835</v>
      </c>
      <c r="F159" s="618">
        <v>0.20170932412147521</v>
      </c>
      <c r="G159" s="659">
        <v>-7</v>
      </c>
      <c r="H159" s="623">
        <v>1.4243306262064646</v>
      </c>
      <c r="I159" s="623">
        <v>2.2947593273869606</v>
      </c>
      <c r="J159" s="659">
        <v>-7</v>
      </c>
      <c r="K159" s="618">
        <v>0.13826122879981997</v>
      </c>
      <c r="L159" s="618">
        <v>0.25944928526878364</v>
      </c>
      <c r="M159" s="659">
        <v>-7</v>
      </c>
      <c r="N159" s="623">
        <v>1.7957439036561809</v>
      </c>
      <c r="O159" s="623">
        <v>2.8370800788817214</v>
      </c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</row>
    <row r="160" outlineLevel="1">
      <c r="A160" s="255"/>
      <c r="B160" s="255"/>
      <c r="C160" s="255"/>
      <c r="D160" s="659">
        <v>-6.5</v>
      </c>
      <c r="E160" s="618">
        <v>0.09104600846767427</v>
      </c>
      <c r="F160" s="618">
        <v>0.21067543625831606</v>
      </c>
      <c r="G160" s="659">
        <v>-6.5</v>
      </c>
      <c r="H160" s="623">
        <v>1.482761812183517</v>
      </c>
      <c r="I160" s="623">
        <v>2.3731809063515747</v>
      </c>
      <c r="J160" s="659">
        <v>-6.5</v>
      </c>
      <c r="K160" s="618">
        <v>0.14416580796241765</v>
      </c>
      <c r="L160" s="618">
        <v>0.2644683063030243</v>
      </c>
      <c r="M160" s="659">
        <v>-6.5</v>
      </c>
      <c r="N160" s="623">
        <v>1.838239794045549</v>
      </c>
      <c r="O160" s="623">
        <v>2.8885491702788157</v>
      </c>
      <c r="P160" s="255"/>
      <c r="Q160" s="255"/>
      <c r="R160" s="255"/>
      <c r="S160" s="255"/>
      <c r="T160" s="255"/>
      <c r="U160" s="255"/>
      <c r="V160" s="255"/>
      <c r="W160" s="255"/>
      <c r="X160" s="255"/>
      <c r="Y160" s="255"/>
      <c r="Z160" s="255"/>
      <c r="AA160" s="255"/>
      <c r="AB160" s="255"/>
      <c r="AC160" s="255"/>
      <c r="AD160" s="255"/>
      <c r="AE160" s="255"/>
      <c r="AF160" s="255"/>
    </row>
    <row r="161" outlineLevel="1">
      <c r="A161" s="255"/>
      <c r="B161" s="255"/>
      <c r="C161" s="255"/>
      <c r="D161" s="659">
        <v>-6</v>
      </c>
      <c r="E161" s="618">
        <v>0.10062267184257506</v>
      </c>
      <c r="F161" s="618">
        <v>0.21960118412971497</v>
      </c>
      <c r="G161" s="659">
        <v>-6</v>
      </c>
      <c r="H161" s="623">
        <v>1.5425122927380743</v>
      </c>
      <c r="I161" s="623">
        <v>2.4533068283385213</v>
      </c>
      <c r="J161" s="659">
        <v>-6</v>
      </c>
      <c r="K161" s="618">
        <v>0.1497653543949127</v>
      </c>
      <c r="L161" s="618">
        <v>0.2694181501865388</v>
      </c>
      <c r="M161" s="659">
        <v>-6</v>
      </c>
      <c r="N161" s="623">
        <v>1.8792600450303603</v>
      </c>
      <c r="O161" s="623">
        <v>2.940018261675909</v>
      </c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</row>
    <row r="162" outlineLevel="1">
      <c r="A162" s="255"/>
      <c r="B162" s="255"/>
      <c r="C162" s="255"/>
      <c r="D162" s="659">
        <v>-5.5</v>
      </c>
      <c r="E162" s="618">
        <v>0.11037153601646424</v>
      </c>
      <c r="F162" s="618">
        <v>0.22849789261817935</v>
      </c>
      <c r="G162" s="659">
        <v>-5.5</v>
      </c>
      <c r="H162" s="623">
        <v>1.6052464355244218</v>
      </c>
      <c r="I162" s="623">
        <v>2.5352531359251538</v>
      </c>
      <c r="J162" s="659">
        <v>-5.5</v>
      </c>
      <c r="K162" s="618">
        <v>0.1552721798419953</v>
      </c>
      <c r="L162" s="618">
        <v>0.2743009626865387</v>
      </c>
      <c r="M162" s="659">
        <v>-5.5</v>
      </c>
      <c r="N162" s="623">
        <v>1.9202927639439737</v>
      </c>
      <c r="O162" s="623">
        <v>2.9914873530730075</v>
      </c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</row>
    <row r="163" outlineLevel="1">
      <c r="A163" s="255"/>
      <c r="B163" s="255"/>
      <c r="C163" s="255"/>
      <c r="D163" s="659">
        <v>-5</v>
      </c>
      <c r="E163" s="618">
        <v>0.11978817582130433</v>
      </c>
      <c r="F163" s="618">
        <v>0.2373488485813141</v>
      </c>
      <c r="G163" s="659">
        <v>-5</v>
      </c>
      <c r="H163" s="623">
        <v>1.6677121132916952</v>
      </c>
      <c r="I163" s="623">
        <v>2.61887783624921</v>
      </c>
      <c r="J163" s="659">
        <v>-5</v>
      </c>
      <c r="K163" s="618">
        <v>0.16068940758705139</v>
      </c>
      <c r="L163" s="618">
        <v>0.27926184535026544</v>
      </c>
      <c r="M163" s="659">
        <v>-5</v>
      </c>
      <c r="N163" s="623">
        <v>1.9613354466779065</v>
      </c>
      <c r="O163" s="623">
        <v>3.0444952752756467</v>
      </c>
      <c r="P163" s="255"/>
      <c r="Q163" s="255"/>
      <c r="R163" s="255"/>
      <c r="S163" s="255"/>
      <c r="T163" s="255"/>
      <c r="U163" s="255"/>
      <c r="V163" s="255"/>
      <c r="W163" s="255"/>
      <c r="X163" s="255"/>
      <c r="Y163" s="255"/>
      <c r="Z163" s="255"/>
      <c r="AA163" s="255"/>
      <c r="AB163" s="255"/>
      <c r="AC163" s="255"/>
      <c r="AD163" s="255"/>
      <c r="AE163" s="255"/>
      <c r="AF163" s="255"/>
    </row>
    <row r="164" outlineLevel="1">
      <c r="A164" s="255"/>
      <c r="B164" s="255"/>
      <c r="C164" s="255"/>
      <c r="D164" s="659">
        <v>-4.5</v>
      </c>
      <c r="E164" s="618">
        <v>0.12913554310798644</v>
      </c>
      <c r="F164" s="618">
        <v>0.2461654126644134</v>
      </c>
      <c r="G164" s="659">
        <v>-4.5</v>
      </c>
      <c r="H164" s="623">
        <v>1.7315745132904825</v>
      </c>
      <c r="I164" s="623">
        <v>2.704297763800434</v>
      </c>
      <c r="J164" s="659">
        <v>-4.5</v>
      </c>
      <c r="K164" s="618">
        <v>0.16603075861930852</v>
      </c>
      <c r="L164" s="618">
        <v>0.2840141832828522</v>
      </c>
      <c r="M164" s="659">
        <v>-4.5</v>
      </c>
      <c r="N164" s="623">
        <v>2.0024688885095117</v>
      </c>
      <c r="O164" s="623">
        <v>3.0959581318605522</v>
      </c>
      <c r="P164" s="255"/>
      <c r="Q164" s="255"/>
      <c r="R164" s="255"/>
      <c r="S164" s="255"/>
      <c r="T164" s="255"/>
      <c r="U164" s="255"/>
      <c r="V164" s="255"/>
      <c r="W164" s="255"/>
      <c r="X164" s="255"/>
      <c r="Y164" s="255"/>
      <c r="Z164" s="255"/>
      <c r="AA164" s="255"/>
      <c r="AB164" s="255"/>
      <c r="AC164" s="255"/>
      <c r="AD164" s="255"/>
      <c r="AE164" s="255"/>
      <c r="AF164" s="255"/>
    </row>
    <row r="165" outlineLevel="1">
      <c r="A165" s="255"/>
      <c r="B165" s="255"/>
      <c r="C165" s="255"/>
      <c r="D165" s="659">
        <v>-4</v>
      </c>
      <c r="E165" s="618">
        <v>0.13841753602027895</v>
      </c>
      <c r="F165" s="618">
        <v>0.2549493610858916</v>
      </c>
      <c r="G165" s="659">
        <v>-4</v>
      </c>
      <c r="H165" s="623">
        <v>1.796858895616807</v>
      </c>
      <c r="I165" s="623">
        <v>2.7915440110104055</v>
      </c>
      <c r="J165" s="659">
        <v>-4</v>
      </c>
      <c r="K165" s="618">
        <v>0.1712779700756073</v>
      </c>
      <c r="L165" s="618">
        <v>0.28870539069175727</v>
      </c>
      <c r="M165" s="659">
        <v>-4</v>
      </c>
      <c r="N165" s="623">
        <v>2.043528577581587</v>
      </c>
      <c r="O165" s="623">
        <v>3.1474209884454587</v>
      </c>
      <c r="P165" s="255"/>
      <c r="Q165" s="255"/>
      <c r="R165" s="255"/>
      <c r="S165" s="255"/>
      <c r="T165" s="255"/>
      <c r="U165" s="255"/>
      <c r="V165" s="255"/>
      <c r="W165" s="255"/>
      <c r="X165" s="255"/>
      <c r="Y165" s="255"/>
      <c r="Z165" s="255"/>
      <c r="AA165" s="255"/>
      <c r="AB165" s="255"/>
      <c r="AC165" s="255"/>
      <c r="AD165" s="255"/>
      <c r="AE165" s="255"/>
      <c r="AF165" s="255"/>
    </row>
    <row r="166" outlineLevel="1">
      <c r="A166" s="255"/>
      <c r="B166" s="255"/>
      <c r="C166" s="255"/>
      <c r="D166" s="659">
        <v>-3.5</v>
      </c>
      <c r="E166" s="618">
        <v>0.14763774275779726</v>
      </c>
      <c r="F166" s="618">
        <v>0.2637023746967315</v>
      </c>
      <c r="G166" s="659">
        <v>-3.5</v>
      </c>
      <c r="H166" s="623">
        <v>1.8635908638471033</v>
      </c>
      <c r="I166" s="623">
        <v>2.8806480749660275</v>
      </c>
      <c r="J166" s="659">
        <v>-3.5</v>
      </c>
      <c r="K166" s="618">
        <v>0.17644371390342714</v>
      </c>
      <c r="L166" s="618">
        <v>0.29333724379539505</v>
      </c>
      <c r="M166" s="659">
        <v>-3.5</v>
      </c>
      <c r="N166" s="623">
        <v>2.084588266653662</v>
      </c>
      <c r="O166" s="623">
        <v>3.198883845030364</v>
      </c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  <c r="AF166" s="255"/>
    </row>
    <row r="167" outlineLevel="1">
      <c r="A167" s="255"/>
      <c r="B167" s="255"/>
      <c r="C167" s="255"/>
      <c r="D167" s="659">
        <v>-3</v>
      </c>
      <c r="E167" s="618">
        <v>0.15679956078529358</v>
      </c>
      <c r="F167" s="618">
        <v>0.27242605090141303</v>
      </c>
      <c r="G167" s="659">
        <v>-3</v>
      </c>
      <c r="H167" s="623">
        <v>1.9317963681478783</v>
      </c>
      <c r="I167" s="623">
        <v>2.971641860916427</v>
      </c>
      <c r="J167" s="659">
        <v>-3</v>
      </c>
      <c r="K167" s="618">
        <v>0.18172213435173037</v>
      </c>
      <c r="L167" s="618">
        <v>0.2979190289974213</v>
      </c>
      <c r="M167" s="659">
        <v>-3</v>
      </c>
      <c r="N167" s="623">
        <v>2.127204317644662</v>
      </c>
      <c r="O167" s="623">
        <v>3.250432844836961</v>
      </c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  <c r="AF167" s="255"/>
    </row>
    <row r="168" outlineLevel="1">
      <c r="A168" s="255"/>
      <c r="B168" s="255"/>
      <c r="C168" s="255"/>
      <c r="D168" s="659">
        <v>-2.5</v>
      </c>
      <c r="E168" s="618">
        <v>0.16590614914894108</v>
      </c>
      <c r="F168" s="618">
        <v>0.2811218917369842</v>
      </c>
      <c r="G168" s="659">
        <v>-2.5</v>
      </c>
      <c r="H168" s="623">
        <v>2.001501708399452</v>
      </c>
      <c r="I168" s="623">
        <v>3.064557685795069</v>
      </c>
      <c r="J168" s="659">
        <v>-2.5</v>
      </c>
      <c r="K168" s="618">
        <v>0.18672972321510312</v>
      </c>
      <c r="L168" s="618">
        <v>0.3024370491504669</v>
      </c>
      <c r="M168" s="659">
        <v>-2.5</v>
      </c>
      <c r="N168" s="623">
        <v>2.1682580221534793</v>
      </c>
      <c r="O168" s="623">
        <v>3.3018957014218664</v>
      </c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  <c r="AF168" s="255"/>
    </row>
    <row r="169" outlineLevel="1">
      <c r="A169" s="255"/>
      <c r="B169" s="255"/>
      <c r="C169" s="255"/>
      <c r="D169" s="659">
        <v>-2</v>
      </c>
      <c r="E169" s="618">
        <v>0.1749712646007538</v>
      </c>
      <c r="F169" s="618">
        <v>0.289791339635849</v>
      </c>
      <c r="G169" s="659">
        <v>-2</v>
      </c>
      <c r="H169" s="623">
        <v>2.072819680555379</v>
      </c>
      <c r="I169" s="623">
        <v>3.1594282817569765</v>
      </c>
      <c r="J169" s="659">
        <v>-2</v>
      </c>
      <c r="K169" s="618">
        <v>0.1916639983654022</v>
      </c>
      <c r="L169" s="618">
        <v>0.30689930319786074</v>
      </c>
      <c r="M169" s="659">
        <v>-2</v>
      </c>
      <c r="N169" s="623">
        <v>2.209311726662296</v>
      </c>
      <c r="O169" s="623">
        <v>3.3533439442872717</v>
      </c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  <c r="AF169" s="255"/>
    </row>
    <row r="170" outlineLevel="1">
      <c r="A170" s="255"/>
      <c r="B170" s="255"/>
      <c r="C170" s="255"/>
      <c r="D170" s="659">
        <v>-1.5</v>
      </c>
      <c r="E170" s="618">
        <v>0.18397580981254574</v>
      </c>
      <c r="F170" s="618">
        <v>0.29843575358390817</v>
      </c>
      <c r="G170" s="659">
        <v>-1.5</v>
      </c>
      <c r="H170" s="623">
        <v>2.1456050069074943</v>
      </c>
      <c r="I170" s="623">
        <v>3.2562867997311584</v>
      </c>
      <c r="J170" s="659">
        <v>-1.5</v>
      </c>
      <c r="K170" s="618">
        <v>0.19652681946754458</v>
      </c>
      <c r="L170" s="618">
        <v>0.3113083541393281</v>
      </c>
      <c r="M170" s="659">
        <v>-1.5</v>
      </c>
      <c r="N170" s="623">
        <v>2.250360635693255</v>
      </c>
      <c r="O170" s="623">
        <v>3.404789896128402</v>
      </c>
      <c r="P170" s="255"/>
      <c r="Q170" s="255"/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255"/>
      <c r="AD170" s="255"/>
      <c r="AE170" s="255"/>
      <c r="AF170" s="255"/>
    </row>
    <row r="171" outlineLevel="1">
      <c r="A171" s="255"/>
      <c r="B171" s="255"/>
      <c r="C171" s="255"/>
      <c r="D171" s="659">
        <v>-1</v>
      </c>
      <c r="E171" s="618">
        <v>0.1929334819316864</v>
      </c>
      <c r="F171" s="618">
        <v>0.30705642104148867</v>
      </c>
      <c r="G171" s="659">
        <v>-1</v>
      </c>
      <c r="H171" s="623">
        <v>2.219971198581865</v>
      </c>
      <c r="I171" s="623">
        <v>3.3551668129881413</v>
      </c>
      <c r="J171" s="659">
        <v>-1</v>
      </c>
      <c r="K171" s="618">
        <v>0.20132964253425595</v>
      </c>
      <c r="L171" s="618">
        <v>0.31566582322120673</v>
      </c>
      <c r="M171" s="659">
        <v>-1</v>
      </c>
      <c r="N171" s="623">
        <v>2.2914836740946027</v>
      </c>
      <c r="O171" s="623">
        <v>3.456235847969533</v>
      </c>
      <c r="P171" s="255"/>
      <c r="Q171" s="255"/>
      <c r="R171" s="255"/>
      <c r="S171" s="255"/>
      <c r="T171" s="255"/>
      <c r="U171" s="255"/>
      <c r="V171" s="255"/>
      <c r="W171" s="255"/>
      <c r="X171" s="255"/>
      <c r="Y171" s="255"/>
      <c r="Z171" s="255"/>
      <c r="AA171" s="255"/>
      <c r="AB171" s="255"/>
      <c r="AC171" s="255"/>
      <c r="AD171" s="255"/>
      <c r="AE171" s="255"/>
      <c r="AF171" s="255"/>
    </row>
    <row r="172" outlineLevel="1">
      <c r="A172" s="255"/>
      <c r="B172" s="255"/>
      <c r="C172" s="255"/>
      <c r="D172" s="659">
        <v>-0.5</v>
      </c>
      <c r="E172" s="618">
        <v>0.20184676051139833</v>
      </c>
      <c r="F172" s="618">
        <v>0.3156545817852021</v>
      </c>
      <c r="G172" s="659">
        <v>-0.5</v>
      </c>
      <c r="H172" s="623">
        <v>2.295945985831898</v>
      </c>
      <c r="I172" s="623">
        <v>3.4561023207227173</v>
      </c>
      <c r="J172" s="659">
        <v>-0.5</v>
      </c>
      <c r="K172" s="618">
        <v>0.20605594515800477</v>
      </c>
      <c r="L172" s="618">
        <v>0.31997306942939774</v>
      </c>
      <c r="M172" s="659">
        <v>-0.5</v>
      </c>
      <c r="N172" s="623">
        <v>2.332520569274259</v>
      </c>
      <c r="O172" s="623">
        <v>3.507681799810664</v>
      </c>
      <c r="P172" s="255"/>
      <c r="Q172" s="255"/>
      <c r="R172" s="255"/>
      <c r="S172" s="255"/>
      <c r="T172" s="255"/>
      <c r="U172" s="255"/>
      <c r="V172" s="255"/>
      <c r="W172" s="255"/>
      <c r="X172" s="255"/>
      <c r="Y172" s="255"/>
      <c r="Z172" s="255"/>
      <c r="AA172" s="255"/>
      <c r="AB172" s="255"/>
      <c r="AC172" s="255"/>
      <c r="AD172" s="255"/>
      <c r="AE172" s="255"/>
      <c r="AF172" s="255"/>
    </row>
    <row r="173" outlineLevel="1">
      <c r="A173" s="255"/>
      <c r="B173" s="255"/>
      <c r="C173" s="255"/>
      <c r="D173" s="659">
        <v>0</v>
      </c>
      <c r="E173" s="618">
        <v>0.21071793437004088</v>
      </c>
      <c r="F173" s="618">
        <v>0.32423140406608586</v>
      </c>
      <c r="G173" s="659">
        <v>0</v>
      </c>
      <c r="H173" s="623">
        <v>2.373557464453917</v>
      </c>
      <c r="I173" s="623">
        <v>3.5591277516517947</v>
      </c>
      <c r="J173" s="659">
        <v>0</v>
      </c>
      <c r="K173" s="618">
        <v>0.21071793437004088</v>
      </c>
      <c r="L173" s="618">
        <v>0.32423140406608586</v>
      </c>
      <c r="M173" s="659">
        <v>0</v>
      </c>
      <c r="N173" s="623">
        <v>2.373557464453916</v>
      </c>
      <c r="O173" s="623">
        <v>3.5591277516517947</v>
      </c>
      <c r="P173" s="255"/>
      <c r="Q173" s="255"/>
      <c r="R173" s="255"/>
      <c r="S173" s="255"/>
      <c r="T173" s="255"/>
      <c r="U173" s="255"/>
      <c r="V173" s="255"/>
      <c r="W173" s="255"/>
      <c r="X173" s="255"/>
      <c r="Y173" s="255"/>
      <c r="Z173" s="255"/>
      <c r="AA173" s="255"/>
      <c r="AB173" s="255"/>
      <c r="AC173" s="255"/>
      <c r="AD173" s="255"/>
      <c r="AE173" s="255"/>
      <c r="AF173" s="255"/>
    </row>
    <row r="174" outlineLevel="1">
      <c r="A174" s="255"/>
      <c r="B174" s="255"/>
      <c r="C174" s="255"/>
      <c r="D174" s="659">
        <v>0.5</v>
      </c>
      <c r="E174" s="618">
        <v>0.2195491969585419</v>
      </c>
      <c r="F174" s="618">
        <v>0.3327879965305329</v>
      </c>
      <c r="G174" s="659">
        <v>0.5</v>
      </c>
      <c r="H174" s="623">
        <v>2.4528340989950967</v>
      </c>
      <c r="I174" s="623">
        <v>3.664277967627448</v>
      </c>
      <c r="J174" s="659">
        <v>0.5</v>
      </c>
      <c r="K174" s="618">
        <v>0.215317565202713</v>
      </c>
      <c r="L174" s="618">
        <v>0.3284420549869538</v>
      </c>
      <c r="M174" s="659">
        <v>0.5</v>
      </c>
      <c r="N174" s="623">
        <v>2.4145943596335724</v>
      </c>
      <c r="O174" s="623">
        <v>3.6105737034929266</v>
      </c>
      <c r="P174" s="255"/>
      <c r="Q174" s="255"/>
      <c r="R174" s="255"/>
      <c r="S174" s="255"/>
      <c r="T174" s="255"/>
      <c r="U174" s="255"/>
      <c r="V174" s="255"/>
      <c r="W174" s="255"/>
      <c r="X174" s="255"/>
      <c r="Y174" s="255"/>
      <c r="Z174" s="255"/>
      <c r="AA174" s="255"/>
      <c r="AB174" s="255"/>
      <c r="AC174" s="255"/>
      <c r="AD174" s="255"/>
      <c r="AE174" s="255"/>
      <c r="AF174" s="255"/>
    </row>
    <row r="175" outlineLevel="1">
      <c r="A175" s="255"/>
      <c r="B175" s="255"/>
      <c r="C175" s="255"/>
      <c r="D175" s="659">
        <v>1</v>
      </c>
      <c r="E175" s="618">
        <v>0.22834259867668155</v>
      </c>
      <c r="F175" s="618">
        <v>0.34132543206214905</v>
      </c>
      <c r="G175" s="659">
        <v>1</v>
      </c>
      <c r="H175" s="623">
        <v>2.5338047259754295</v>
      </c>
      <c r="I175" s="623">
        <v>3.7715882672650913</v>
      </c>
      <c r="J175" s="659">
        <v>1</v>
      </c>
      <c r="K175" s="618">
        <v>0.21985670924186707</v>
      </c>
      <c r="L175" s="618">
        <v>0.33260625004768374</v>
      </c>
      <c r="M175" s="659">
        <v>1</v>
      </c>
      <c r="N175" s="623">
        <v>2.455631254813229</v>
      </c>
      <c r="O175" s="623">
        <v>3.6620196553340567</v>
      </c>
      <c r="P175" s="255"/>
      <c r="Q175" s="255"/>
      <c r="R175" s="255"/>
      <c r="S175" s="255"/>
      <c r="T175" s="255"/>
      <c r="U175" s="255"/>
      <c r="V175" s="255"/>
      <c r="W175" s="255"/>
      <c r="X175" s="255"/>
      <c r="Y175" s="255"/>
      <c r="Z175" s="255"/>
      <c r="AA175" s="255"/>
      <c r="AB175" s="255"/>
      <c r="AC175" s="255"/>
      <c r="AD175" s="255"/>
      <c r="AE175" s="255"/>
      <c r="AF175" s="255"/>
    </row>
    <row r="176" outlineLevel="1">
      <c r="A176" s="255"/>
      <c r="B176" s="255"/>
      <c r="C176" s="255"/>
      <c r="D176" s="659">
        <v>1.5</v>
      </c>
      <c r="E176" s="618">
        <v>0.23710008263587948</v>
      </c>
      <c r="F176" s="618">
        <v>0.3498447120189667</v>
      </c>
      <c r="G176" s="659">
        <v>1.5</v>
      </c>
      <c r="H176" s="623">
        <v>2.6164985571237187</v>
      </c>
      <c r="I176" s="623">
        <v>3.8810943895868553</v>
      </c>
      <c r="J176" s="659">
        <v>1.5</v>
      </c>
      <c r="K176" s="618">
        <v>0.22433715462684636</v>
      </c>
      <c r="L176" s="618">
        <v>0.3368560016155243</v>
      </c>
      <c r="M176" s="659">
        <v>1.5</v>
      </c>
      <c r="N176" s="623">
        <v>2.496668149992886</v>
      </c>
      <c r="O176" s="623">
        <v>3.7151094719652</v>
      </c>
      <c r="P176" s="255"/>
      <c r="Q176" s="255"/>
      <c r="R176" s="255"/>
      <c r="S176" s="255"/>
      <c r="T176" s="255"/>
      <c r="U176" s="255"/>
      <c r="V176" s="255"/>
      <c r="W176" s="255"/>
      <c r="X176" s="255"/>
      <c r="Y176" s="255"/>
      <c r="Z176" s="255"/>
      <c r="AA176" s="255"/>
      <c r="AB176" s="255"/>
      <c r="AC176" s="255"/>
      <c r="AD176" s="255"/>
      <c r="AE176" s="255"/>
      <c r="AF176" s="255"/>
    </row>
    <row r="177" outlineLevel="1">
      <c r="A177" s="255"/>
      <c r="B177" s="255"/>
      <c r="C177" s="255"/>
      <c r="D177" s="659">
        <v>2</v>
      </c>
      <c r="E177" s="618">
        <v>0.24582349658012387</v>
      </c>
      <c r="F177" s="618">
        <v>0.35834680199623115</v>
      </c>
      <c r="G177" s="659">
        <v>2</v>
      </c>
      <c r="H177" s="623">
        <v>2.700945182627621</v>
      </c>
      <c r="I177" s="623">
        <v>3.9928325176800636</v>
      </c>
      <c r="J177" s="659">
        <v>2</v>
      </c>
      <c r="K177" s="618">
        <v>0.22893760800361637</v>
      </c>
      <c r="L177" s="618">
        <v>0.34092909693717954</v>
      </c>
      <c r="M177" s="659">
        <v>2</v>
      </c>
      <c r="N177" s="623">
        <v>2.5393578635795437</v>
      </c>
      <c r="O177" s="623">
        <v>3.7665531078710153</v>
      </c>
      <c r="P177" s="255"/>
      <c r="Q177" s="255"/>
      <c r="R177" s="255"/>
      <c r="S177" s="255"/>
      <c r="T177" s="255"/>
      <c r="U177" s="255"/>
      <c r="V177" s="255"/>
      <c r="W177" s="255"/>
      <c r="X177" s="255"/>
      <c r="Y177" s="255"/>
      <c r="Z177" s="255"/>
      <c r="AA177" s="255"/>
      <c r="AB177" s="255"/>
      <c r="AC177" s="255"/>
      <c r="AD177" s="255"/>
      <c r="AE177" s="255"/>
      <c r="AF177" s="255"/>
    </row>
    <row r="178">
      <c r="A178" s="25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255"/>
      <c r="M178" s="255"/>
      <c r="N178" s="255"/>
      <c r="O178" s="255"/>
      <c r="P178" s="255"/>
      <c r="Q178" s="255"/>
      <c r="R178" s="255"/>
      <c r="S178" s="255"/>
      <c r="T178" s="255"/>
      <c r="U178" s="255"/>
      <c r="V178" s="255"/>
      <c r="W178" s="255"/>
      <c r="X178" s="255"/>
      <c r="Y178" s="255"/>
      <c r="Z178" s="255"/>
      <c r="AA178" s="255"/>
      <c r="AB178" s="255"/>
      <c r="AC178" s="255"/>
      <c r="AD178" s="255"/>
      <c r="AE178" s="255"/>
      <c r="AF178" s="255"/>
    </row>
    <row r="179">
      <c r="A179" s="25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255"/>
      <c r="M179" s="255"/>
      <c r="N179" s="255"/>
      <c r="O179" s="255"/>
      <c r="P179" s="255"/>
      <c r="Q179" s="255"/>
      <c r="R179" s="255"/>
      <c r="S179" s="255"/>
      <c r="T179" s="255"/>
      <c r="U179" s="255"/>
      <c r="V179" s="255"/>
      <c r="W179" s="255"/>
      <c r="X179" s="255"/>
      <c r="Y179" s="255"/>
      <c r="Z179" s="255"/>
      <c r="AA179" s="255"/>
      <c r="AB179" s="255"/>
      <c r="AC179" s="255"/>
      <c r="AD179" s="255"/>
      <c r="AE179" s="255"/>
      <c r="AF179" s="255"/>
    </row>
    <row r="180">
      <c r="A180" s="25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</row>
    <row r="181">
      <c r="A181" s="25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255"/>
      <c r="M181" s="255"/>
      <c r="N181" s="255"/>
      <c r="O181" s="255"/>
      <c r="P181" s="255"/>
      <c r="Q181" s="255"/>
      <c r="R181" s="255"/>
      <c r="S181" s="255"/>
      <c r="T181" s="255"/>
      <c r="U181" s="255"/>
      <c r="V181" s="255"/>
      <c r="W181" s="255"/>
      <c r="X181" s="255"/>
      <c r="Y181" s="255"/>
      <c r="Z181" s="255"/>
      <c r="AA181" s="255"/>
      <c r="AB181" s="255"/>
      <c r="AC181" s="255"/>
      <c r="AD181" s="255"/>
      <c r="AE181" s="255"/>
      <c r="AF181" s="255"/>
    </row>
    <row r="182">
      <c r="A182" s="255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5"/>
      <c r="M182" s="255"/>
      <c r="N182" s="255"/>
      <c r="O182" s="255"/>
      <c r="P182" s="255"/>
      <c r="Q182" s="255"/>
      <c r="R182" s="255"/>
      <c r="S182" s="255"/>
      <c r="T182" s="255"/>
      <c r="U182" s="255"/>
      <c r="V182" s="255"/>
      <c r="W182" s="255"/>
      <c r="X182" s="255"/>
      <c r="Y182" s="255"/>
      <c r="Z182" s="255"/>
      <c r="AA182" s="255"/>
      <c r="AB182" s="255"/>
      <c r="AC182" s="255"/>
      <c r="AD182" s="255"/>
      <c r="AE182" s="255"/>
      <c r="AF182" s="255"/>
    </row>
    <row r="183">
      <c r="A183" s="255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255"/>
      <c r="M183" s="255"/>
      <c r="N183" s="255"/>
      <c r="O183" s="255"/>
      <c r="P183" s="255"/>
      <c r="Q183" s="255"/>
      <c r="R183" s="255"/>
      <c r="S183" s="255"/>
      <c r="T183" s="255"/>
      <c r="U183" s="255"/>
      <c r="V183" s="255"/>
      <c r="W183" s="255"/>
      <c r="X183" s="255"/>
      <c r="Y183" s="255"/>
      <c r="Z183" s="255"/>
      <c r="AA183" s="255"/>
      <c r="AB183" s="255"/>
      <c r="AC183" s="255"/>
      <c r="AD183" s="255"/>
      <c r="AE183" s="255"/>
      <c r="AF183" s="255"/>
    </row>
    <row r="184">
      <c r="A184" s="255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255"/>
      <c r="M184" s="255"/>
      <c r="N184" s="255"/>
      <c r="O184" s="255"/>
      <c r="P184" s="255"/>
      <c r="Q184" s="255"/>
      <c r="R184" s="255"/>
      <c r="S184" s="255"/>
      <c r="T184" s="255"/>
      <c r="U184" s="255"/>
      <c r="V184" s="255"/>
      <c r="W184" s="255"/>
      <c r="X184" s="255"/>
      <c r="Y184" s="255"/>
      <c r="Z184" s="255"/>
      <c r="AA184" s="255"/>
      <c r="AB184" s="255"/>
      <c r="AC184" s="255"/>
      <c r="AD184" s="255"/>
      <c r="AE184" s="255"/>
      <c r="AF184" s="255"/>
    </row>
    <row r="185">
      <c r="A185" s="255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255"/>
      <c r="M185" s="255"/>
      <c r="N185" s="255"/>
      <c r="O185" s="255"/>
      <c r="P185" s="255"/>
      <c r="Q185" s="255"/>
      <c r="R185" s="255"/>
      <c r="S185" s="255"/>
      <c r="T185" s="255"/>
      <c r="U185" s="255"/>
      <c r="V185" s="255"/>
      <c r="W185" s="255"/>
      <c r="X185" s="255"/>
      <c r="Y185" s="255"/>
      <c r="Z185" s="255"/>
      <c r="AA185" s="255"/>
      <c r="AB185" s="255"/>
      <c r="AC185" s="255"/>
      <c r="AD185" s="255"/>
      <c r="AE185" s="255"/>
      <c r="AF185" s="255"/>
    </row>
    <row r="186">
      <c r="A186" s="25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255"/>
      <c r="M186" s="255"/>
      <c r="N186" s="255"/>
      <c r="O186" s="255"/>
      <c r="P186" s="255"/>
      <c r="Q186" s="255"/>
      <c r="R186" s="255"/>
      <c r="S186" s="255"/>
      <c r="T186" s="255"/>
      <c r="U186" s="255"/>
      <c r="V186" s="255"/>
      <c r="W186" s="255"/>
      <c r="X186" s="255"/>
      <c r="Y186" s="255"/>
      <c r="Z186" s="255"/>
      <c r="AA186" s="255"/>
      <c r="AB186" s="255"/>
      <c r="AC186" s="255"/>
      <c r="AD186" s="255"/>
      <c r="AE186" s="255"/>
      <c r="AF186" s="255"/>
    </row>
    <row r="187">
      <c r="A187" s="255"/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  <c r="L187" s="255"/>
      <c r="M187" s="255"/>
      <c r="N187" s="255"/>
      <c r="O187" s="255"/>
      <c r="P187" s="255"/>
      <c r="Q187" s="255"/>
      <c r="R187" s="255"/>
      <c r="S187" s="255"/>
      <c r="T187" s="255"/>
      <c r="U187" s="255"/>
      <c r="V187" s="255"/>
      <c r="W187" s="255"/>
      <c r="X187" s="255"/>
      <c r="Y187" s="255"/>
      <c r="Z187" s="255"/>
      <c r="AA187" s="255"/>
      <c r="AB187" s="255"/>
      <c r="AC187" s="255"/>
      <c r="AD187" s="255"/>
      <c r="AE187" s="255"/>
      <c r="AF187" s="255"/>
    </row>
    <row r="188">
      <c r="A188" s="25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255"/>
      <c r="M188" s="255"/>
      <c r="N188" s="255"/>
      <c r="O188" s="255"/>
      <c r="P188" s="255"/>
      <c r="Q188" s="255"/>
      <c r="R188" s="255"/>
      <c r="S188" s="255"/>
      <c r="T188" s="255"/>
      <c r="U188" s="255"/>
      <c r="V188" s="255"/>
      <c r="W188" s="255"/>
      <c r="X188" s="255"/>
      <c r="Y188" s="255"/>
      <c r="Z188" s="255"/>
      <c r="AA188" s="255"/>
      <c r="AB188" s="255"/>
      <c r="AC188" s="255"/>
      <c r="AD188" s="255"/>
      <c r="AE188" s="255"/>
      <c r="AF188" s="255"/>
    </row>
    <row r="189">
      <c r="A189" s="25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255"/>
      <c r="O189" s="255"/>
      <c r="P189" s="255"/>
      <c r="Q189" s="255"/>
      <c r="R189" s="255"/>
      <c r="S189" s="255"/>
      <c r="T189" s="255"/>
      <c r="U189" s="255"/>
      <c r="V189" s="255"/>
      <c r="W189" s="255"/>
      <c r="X189" s="255"/>
      <c r="Y189" s="255"/>
      <c r="Z189" s="255"/>
      <c r="AA189" s="255"/>
      <c r="AB189" s="255"/>
      <c r="AC189" s="255"/>
      <c r="AD189" s="255"/>
      <c r="AE189" s="255"/>
      <c r="AF189" s="255"/>
    </row>
    <row r="190">
      <c r="A190" s="25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255"/>
      <c r="O190" s="255"/>
      <c r="P190" s="255"/>
      <c r="Q190" s="255"/>
      <c r="R190" s="255"/>
      <c r="S190" s="255"/>
      <c r="T190" s="255"/>
      <c r="U190" s="255"/>
      <c r="V190" s="255"/>
      <c r="W190" s="255"/>
      <c r="X190" s="255"/>
      <c r="Y190" s="255"/>
      <c r="Z190" s="255"/>
      <c r="AA190" s="255"/>
      <c r="AB190" s="255"/>
      <c r="AC190" s="255"/>
      <c r="AD190" s="255"/>
      <c r="AE190" s="255"/>
      <c r="AF190" s="255"/>
    </row>
    <row r="191">
      <c r="A191" s="25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255"/>
      <c r="M191" s="255"/>
      <c r="N191" s="255"/>
      <c r="O191" s="255"/>
      <c r="P191" s="255"/>
      <c r="Q191" s="255"/>
      <c r="R191" s="255"/>
      <c r="S191" s="255"/>
      <c r="T191" s="255"/>
      <c r="U191" s="255"/>
      <c r="V191" s="255"/>
      <c r="W191" s="255"/>
      <c r="X191" s="255"/>
      <c r="Y191" s="255"/>
      <c r="Z191" s="255"/>
      <c r="AA191" s="255"/>
      <c r="AB191" s="255"/>
      <c r="AC191" s="255"/>
      <c r="AD191" s="255"/>
      <c r="AE191" s="255"/>
      <c r="AF191" s="255"/>
    </row>
    <row r="192">
      <c r="A192" s="255"/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</row>
    <row r="193">
      <c r="A193" s="25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255"/>
      <c r="M193" s="255"/>
      <c r="N193" s="255"/>
      <c r="O193" s="255"/>
      <c r="P193" s="255"/>
      <c r="Q193" s="255"/>
      <c r="R193" s="255"/>
      <c r="S193" s="255"/>
      <c r="T193" s="255"/>
      <c r="U193" s="255"/>
      <c r="V193" s="255"/>
      <c r="W193" s="255"/>
      <c r="X193" s="255"/>
      <c r="Y193" s="255"/>
      <c r="Z193" s="255"/>
      <c r="AA193" s="255"/>
      <c r="AB193" s="255"/>
      <c r="AC193" s="255"/>
      <c r="AD193" s="255"/>
      <c r="AE193" s="255"/>
      <c r="AF193" s="255"/>
    </row>
    <row r="194">
      <c r="A194" s="25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255"/>
      <c r="M194" s="255"/>
      <c r="N194" s="255"/>
      <c r="O194" s="25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5"/>
      <c r="Z194" s="255"/>
      <c r="AA194" s="255"/>
      <c r="AB194" s="255"/>
      <c r="AC194" s="255"/>
      <c r="AD194" s="255"/>
      <c r="AE194" s="255"/>
      <c r="AF194" s="255"/>
    </row>
    <row r="195">
      <c r="A195" s="25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255"/>
      <c r="M195" s="255"/>
      <c r="N195" s="255"/>
      <c r="O195" s="255"/>
      <c r="P195" s="255"/>
      <c r="Q195" s="255"/>
      <c r="R195" s="255"/>
      <c r="S195" s="255"/>
      <c r="T195" s="255"/>
      <c r="U195" s="255"/>
      <c r="V195" s="255"/>
      <c r="W195" s="255"/>
      <c r="X195" s="255"/>
      <c r="Y195" s="255"/>
      <c r="Z195" s="255"/>
      <c r="AA195" s="255"/>
      <c r="AB195" s="255"/>
      <c r="AC195" s="255"/>
      <c r="AD195" s="255"/>
      <c r="AE195" s="255"/>
      <c r="AF195" s="255"/>
    </row>
    <row r="196">
      <c r="A196" s="25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255"/>
      <c r="M196" s="255"/>
      <c r="N196" s="255"/>
      <c r="O196" s="255"/>
      <c r="P196" s="255"/>
      <c r="Q196" s="255"/>
      <c r="R196" s="255"/>
      <c r="S196" s="255"/>
      <c r="T196" s="255"/>
      <c r="U196" s="255"/>
      <c r="V196" s="255"/>
      <c r="W196" s="255"/>
      <c r="X196" s="255"/>
      <c r="Y196" s="255"/>
      <c r="Z196" s="255"/>
      <c r="AA196" s="255"/>
      <c r="AB196" s="255"/>
      <c r="AC196" s="255"/>
      <c r="AD196" s="255"/>
      <c r="AE196" s="255"/>
      <c r="AF196" s="255"/>
    </row>
    <row r="197">
      <c r="A197" s="25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255"/>
      <c r="M197" s="255"/>
      <c r="N197" s="255"/>
      <c r="O197" s="255"/>
      <c r="P197" s="255"/>
      <c r="Q197" s="255"/>
      <c r="R197" s="255"/>
      <c r="S197" s="255"/>
      <c r="T197" s="255"/>
      <c r="U197" s="255"/>
      <c r="V197" s="255"/>
      <c r="W197" s="255"/>
      <c r="X197" s="255"/>
      <c r="Y197" s="255"/>
      <c r="Z197" s="255"/>
      <c r="AA197" s="255"/>
      <c r="AB197" s="255"/>
      <c r="AC197" s="255"/>
      <c r="AD197" s="255"/>
      <c r="AE197" s="255"/>
      <c r="AF197" s="255"/>
    </row>
    <row r="198">
      <c r="A198" s="255"/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</row>
    <row r="199">
      <c r="A199" s="25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</row>
    <row r="200">
      <c r="A200" s="25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</row>
    <row r="201">
      <c r="A201" s="25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>
      <c r="A202" s="25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</row>
    <row r="203">
      <c r="A203" s="25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255"/>
      <c r="M203" s="255"/>
      <c r="N203" s="255"/>
      <c r="O203" s="255"/>
      <c r="P203" s="255"/>
      <c r="Q203" s="255"/>
      <c r="R203" s="255"/>
      <c r="S203" s="255"/>
      <c r="T203" s="255"/>
      <c r="U203" s="255"/>
      <c r="V203" s="255"/>
      <c r="W203" s="255"/>
      <c r="X203" s="255"/>
      <c r="Y203" s="255"/>
      <c r="Z203" s="255"/>
      <c r="AA203" s="255"/>
      <c r="AB203" s="255"/>
      <c r="AC203" s="255"/>
      <c r="AD203" s="255"/>
      <c r="AE203" s="255"/>
      <c r="AF203" s="255"/>
    </row>
    <row r="204">
      <c r="A204" s="255"/>
      <c r="B204" s="255"/>
      <c r="C204" s="255"/>
      <c r="D204" s="255"/>
      <c r="E204" s="255"/>
      <c r="F204" s="255"/>
      <c r="G204" s="255"/>
      <c r="H204" s="255"/>
      <c r="I204" s="255"/>
      <c r="J204" s="255"/>
      <c r="K204" s="255"/>
      <c r="L204" s="255"/>
      <c r="M204" s="255"/>
      <c r="N204" s="255"/>
      <c r="O204" s="255"/>
      <c r="P204" s="255"/>
      <c r="Q204" s="255"/>
      <c r="R204" s="255"/>
      <c r="S204" s="255"/>
      <c r="T204" s="255"/>
      <c r="U204" s="255"/>
      <c r="V204" s="255"/>
      <c r="W204" s="255"/>
      <c r="X204" s="255"/>
      <c r="Y204" s="255"/>
      <c r="Z204" s="255"/>
      <c r="AA204" s="255"/>
      <c r="AB204" s="255"/>
      <c r="AC204" s="255"/>
      <c r="AD204" s="255"/>
      <c r="AE204" s="255"/>
      <c r="AF204" s="255"/>
    </row>
    <row r="205">
      <c r="A205" s="25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255"/>
      <c r="M205" s="255"/>
      <c r="N205" s="255"/>
      <c r="O205" s="255"/>
      <c r="P205" s="255"/>
      <c r="Q205" s="255"/>
      <c r="R205" s="255"/>
      <c r="S205" s="255"/>
      <c r="T205" s="255"/>
      <c r="U205" s="255"/>
      <c r="V205" s="255"/>
      <c r="W205" s="255"/>
      <c r="X205" s="255"/>
      <c r="Y205" s="255"/>
      <c r="Z205" s="255"/>
      <c r="AA205" s="255"/>
      <c r="AB205" s="255"/>
      <c r="AC205" s="255"/>
      <c r="AD205" s="255"/>
      <c r="AE205" s="255"/>
      <c r="AF205" s="255"/>
    </row>
    <row r="206">
      <c r="A206" s="25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5"/>
      <c r="AE206" s="255"/>
      <c r="AF206" s="255"/>
    </row>
    <row r="207">
      <c r="A207" s="25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255"/>
      <c r="M207" s="255"/>
      <c r="N207" s="255"/>
      <c r="O207" s="255"/>
      <c r="P207" s="255"/>
      <c r="Q207" s="255"/>
      <c r="R207" s="255"/>
      <c r="S207" s="255"/>
      <c r="T207" s="255"/>
      <c r="U207" s="255"/>
      <c r="V207" s="255"/>
      <c r="W207" s="255"/>
      <c r="X207" s="255"/>
      <c r="Y207" s="255"/>
      <c r="Z207" s="255"/>
      <c r="AA207" s="255"/>
      <c r="AB207" s="255"/>
      <c r="AC207" s="255"/>
      <c r="AD207" s="255"/>
      <c r="AE207" s="255"/>
      <c r="AF207" s="255"/>
    </row>
    <row r="208">
      <c r="A208" s="25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255"/>
      <c r="M208" s="255"/>
      <c r="N208" s="255"/>
      <c r="O208" s="255"/>
      <c r="P208" s="255"/>
      <c r="Q208" s="255"/>
      <c r="R208" s="255"/>
      <c r="S208" s="255"/>
      <c r="T208" s="255"/>
      <c r="U208" s="255"/>
      <c r="V208" s="255"/>
      <c r="W208" s="255"/>
      <c r="X208" s="255"/>
      <c r="Y208" s="255"/>
      <c r="Z208" s="255"/>
      <c r="AA208" s="255"/>
      <c r="AB208" s="255"/>
      <c r="AC208" s="255"/>
      <c r="AD208" s="255"/>
      <c r="AE208" s="255"/>
      <c r="AF208" s="255"/>
    </row>
    <row r="209">
      <c r="A209" s="255"/>
      <c r="B209" s="255"/>
      <c r="C209" s="255"/>
      <c r="D209" s="255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</row>
    <row r="210">
      <c r="A210" s="25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255"/>
      <c r="M210" s="255"/>
      <c r="N210" s="255"/>
      <c r="O210" s="25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5"/>
      <c r="Z210" s="255"/>
      <c r="AA210" s="255"/>
      <c r="AB210" s="255"/>
      <c r="AC210" s="255"/>
      <c r="AD210" s="255"/>
      <c r="AE210" s="255"/>
      <c r="AF210" s="255"/>
    </row>
    <row r="211">
      <c r="A211" s="25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255"/>
      <c r="M211" s="255"/>
      <c r="N211" s="255"/>
      <c r="O211" s="255"/>
      <c r="P211" s="255"/>
      <c r="Q211" s="255"/>
      <c r="R211" s="255"/>
      <c r="S211" s="255"/>
      <c r="T211" s="255"/>
      <c r="U211" s="255"/>
      <c r="V211" s="255"/>
      <c r="W211" s="255"/>
      <c r="X211" s="255"/>
      <c r="Y211" s="255"/>
      <c r="Z211" s="255"/>
      <c r="AA211" s="255"/>
      <c r="AB211" s="255"/>
      <c r="AC211" s="255"/>
      <c r="AD211" s="255"/>
      <c r="AE211" s="255"/>
      <c r="AF211" s="255"/>
    </row>
    <row r="212">
      <c r="A212" s="25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255"/>
      <c r="M212" s="255"/>
      <c r="N212" s="255"/>
      <c r="O212" s="255"/>
      <c r="P212" s="255"/>
      <c r="Q212" s="255"/>
      <c r="R212" s="255"/>
      <c r="S212" s="255"/>
      <c r="T212" s="255"/>
      <c r="U212" s="255"/>
      <c r="V212" s="255"/>
      <c r="W212" s="255"/>
      <c r="X212" s="255"/>
      <c r="Y212" s="255"/>
      <c r="Z212" s="255"/>
      <c r="AA212" s="255"/>
      <c r="AB212" s="255"/>
      <c r="AC212" s="255"/>
      <c r="AD212" s="255"/>
      <c r="AE212" s="255"/>
      <c r="AF212" s="255"/>
    </row>
    <row r="213">
      <c r="A213" s="25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255"/>
      <c r="M213" s="255"/>
      <c r="N213" s="255"/>
      <c r="O213" s="25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5"/>
      <c r="Z213" s="255"/>
      <c r="AA213" s="255"/>
      <c r="AB213" s="255"/>
      <c r="AC213" s="255"/>
      <c r="AD213" s="255"/>
      <c r="AE213" s="255"/>
      <c r="AF213" s="255"/>
    </row>
    <row r="214">
      <c r="A214" s="25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255"/>
      <c r="M214" s="255"/>
      <c r="N214" s="255"/>
      <c r="O214" s="255"/>
      <c r="P214" s="255"/>
      <c r="Q214" s="255"/>
      <c r="R214" s="255"/>
      <c r="S214" s="255"/>
      <c r="T214" s="255"/>
      <c r="U214" s="255"/>
      <c r="V214" s="255"/>
      <c r="W214" s="255"/>
      <c r="X214" s="255"/>
      <c r="Y214" s="255"/>
      <c r="Z214" s="255"/>
      <c r="AA214" s="255"/>
      <c r="AB214" s="255"/>
      <c r="AC214" s="255"/>
      <c r="AD214" s="255"/>
      <c r="AE214" s="255"/>
      <c r="AF214" s="255"/>
    </row>
    <row r="215">
      <c r="A215" s="25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255"/>
      <c r="M215" s="255"/>
      <c r="N215" s="255"/>
      <c r="O215" s="255"/>
      <c r="P215" s="255"/>
      <c r="Q215" s="255"/>
      <c r="R215" s="255"/>
      <c r="S215" s="255"/>
      <c r="T215" s="255"/>
      <c r="U215" s="255"/>
      <c r="V215" s="255"/>
      <c r="W215" s="255"/>
      <c r="X215" s="255"/>
      <c r="Y215" s="255"/>
      <c r="Z215" s="255"/>
      <c r="AA215" s="255"/>
      <c r="AB215" s="255"/>
      <c r="AC215" s="255"/>
      <c r="AD215" s="255"/>
      <c r="AE215" s="255"/>
      <c r="AF215" s="255"/>
    </row>
    <row r="216">
      <c r="A216" s="255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</row>
    <row r="217">
      <c r="A217" s="25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255"/>
      <c r="M217" s="255"/>
      <c r="N217" s="255"/>
      <c r="O217" s="25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5"/>
      <c r="Z217" s="255"/>
      <c r="AA217" s="255"/>
      <c r="AB217" s="255"/>
      <c r="AC217" s="255"/>
      <c r="AD217" s="255"/>
      <c r="AE217" s="255"/>
      <c r="AF217" s="255"/>
    </row>
    <row r="218">
      <c r="A218" s="25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255"/>
      <c r="M218" s="255"/>
      <c r="N218" s="255"/>
      <c r="O218" s="255"/>
      <c r="P218" s="255"/>
      <c r="Q218" s="255"/>
      <c r="R218" s="255"/>
      <c r="S218" s="255"/>
      <c r="T218" s="255"/>
      <c r="U218" s="255"/>
      <c r="V218" s="255"/>
      <c r="W218" s="255"/>
      <c r="X218" s="255"/>
      <c r="Y218" s="255"/>
      <c r="Z218" s="255"/>
      <c r="AA218" s="255"/>
      <c r="AB218" s="255"/>
      <c r="AC218" s="255"/>
      <c r="AD218" s="255"/>
      <c r="AE218" s="255"/>
      <c r="AF218" s="255"/>
    </row>
    <row r="219">
      <c r="A219" s="25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</row>
    <row r="220">
      <c r="A220" s="25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</row>
    <row r="221">
      <c r="A221" s="25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255"/>
      <c r="M221" s="255"/>
      <c r="N221" s="255"/>
      <c r="O221" s="255"/>
      <c r="P221" s="255"/>
      <c r="Q221" s="255"/>
      <c r="R221" s="255"/>
      <c r="S221" s="255"/>
      <c r="T221" s="255"/>
      <c r="U221" s="255"/>
      <c r="V221" s="255"/>
      <c r="W221" s="255"/>
      <c r="X221" s="255"/>
      <c r="Y221" s="255"/>
      <c r="Z221" s="255"/>
      <c r="AA221" s="255"/>
      <c r="AB221" s="255"/>
      <c r="AC221" s="255"/>
      <c r="AD221" s="255"/>
      <c r="AE221" s="255"/>
      <c r="AF221" s="255"/>
    </row>
    <row r="222">
      <c r="A222" s="255"/>
      <c r="B222" s="255"/>
      <c r="C222" s="255"/>
      <c r="D222" s="255"/>
      <c r="E222" s="255"/>
      <c r="F222" s="255"/>
      <c r="G222" s="255"/>
      <c r="H222" s="255"/>
      <c r="I222" s="255"/>
      <c r="J222" s="255"/>
      <c r="K222" s="255"/>
      <c r="L222" s="255"/>
      <c r="M222" s="255"/>
      <c r="N222" s="255"/>
      <c r="O222" s="255"/>
      <c r="P222" s="255"/>
      <c r="Q222" s="255"/>
      <c r="R222" s="255"/>
      <c r="S222" s="255"/>
      <c r="T222" s="255"/>
      <c r="U222" s="255"/>
      <c r="V222" s="255"/>
      <c r="W222" s="255"/>
      <c r="X222" s="255"/>
      <c r="Y222" s="255"/>
      <c r="Z222" s="255"/>
      <c r="AA222" s="255"/>
      <c r="AB222" s="255"/>
      <c r="AC222" s="255"/>
      <c r="AD222" s="255"/>
      <c r="AE222" s="255"/>
      <c r="AF222" s="255"/>
    </row>
    <row r="223">
      <c r="A223" s="255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</row>
    <row r="224">
      <c r="A224" s="255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</row>
    <row r="225">
      <c r="A225" s="255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</row>
    <row r="226">
      <c r="A226" s="25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255"/>
      <c r="M226" s="255"/>
      <c r="N226" s="255"/>
      <c r="O226" s="255"/>
      <c r="P226" s="255"/>
      <c r="Q226" s="255"/>
      <c r="R226" s="255"/>
      <c r="S226" s="255"/>
      <c r="T226" s="255"/>
      <c r="U226" s="255"/>
      <c r="V226" s="255"/>
      <c r="W226" s="255"/>
      <c r="X226" s="255"/>
      <c r="Y226" s="255"/>
      <c r="Z226" s="255"/>
      <c r="AA226" s="255"/>
      <c r="AB226" s="255"/>
      <c r="AC226" s="255"/>
      <c r="AD226" s="255"/>
      <c r="AE226" s="255"/>
      <c r="AF226" s="255"/>
    </row>
    <row r="227">
      <c r="A227" s="25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255"/>
      <c r="P227" s="255"/>
      <c r="Q227" s="255"/>
      <c r="R227" s="255"/>
      <c r="S227" s="255"/>
      <c r="T227" s="255"/>
      <c r="U227" s="255"/>
      <c r="V227" s="255"/>
      <c r="W227" s="255"/>
      <c r="X227" s="255"/>
      <c r="Y227" s="255"/>
      <c r="Z227" s="255"/>
      <c r="AA227" s="255"/>
      <c r="AB227" s="255"/>
      <c r="AC227" s="255"/>
      <c r="AD227" s="255"/>
      <c r="AE227" s="255"/>
      <c r="AF227" s="255"/>
    </row>
    <row r="228">
      <c r="A228" s="255"/>
      <c r="B228" s="255"/>
      <c r="C228" s="255"/>
      <c r="D228" s="255"/>
      <c r="E228" s="255"/>
      <c r="F228" s="255"/>
      <c r="G228" s="255"/>
      <c r="H228" s="255"/>
      <c r="I228" s="255"/>
      <c r="J228" s="255"/>
      <c r="K228" s="255"/>
      <c r="L228" s="255"/>
      <c r="M228" s="255"/>
      <c r="N228" s="255"/>
      <c r="O228" s="255"/>
      <c r="P228" s="255"/>
      <c r="Q228" s="255"/>
      <c r="R228" s="255"/>
      <c r="S228" s="255"/>
      <c r="T228" s="255"/>
      <c r="U228" s="255"/>
      <c r="V228" s="255"/>
      <c r="W228" s="255"/>
      <c r="X228" s="255"/>
      <c r="Y228" s="255"/>
      <c r="Z228" s="255"/>
      <c r="AA228" s="255"/>
      <c r="AB228" s="255"/>
      <c r="AC228" s="255"/>
      <c r="AD228" s="255"/>
      <c r="AE228" s="255"/>
      <c r="AF228" s="255"/>
    </row>
    <row r="229">
      <c r="A229" s="255"/>
      <c r="B229" s="255"/>
      <c r="C229" s="255"/>
      <c r="D229" s="255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25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5"/>
      <c r="Z229" s="255"/>
      <c r="AA229" s="255"/>
      <c r="AB229" s="255"/>
      <c r="AC229" s="255"/>
      <c r="AD229" s="255"/>
      <c r="AE229" s="255"/>
      <c r="AF229" s="255"/>
    </row>
    <row r="230">
      <c r="A230" s="255"/>
      <c r="B230" s="255"/>
      <c r="C230" s="255"/>
      <c r="D230" s="255"/>
      <c r="E230" s="255"/>
      <c r="F230" s="255"/>
      <c r="G230" s="255"/>
      <c r="H230" s="255"/>
      <c r="I230" s="255"/>
      <c r="J230" s="255"/>
      <c r="K230" s="255"/>
      <c r="L230" s="255"/>
      <c r="M230" s="255"/>
      <c r="N230" s="255"/>
      <c r="O230" s="255"/>
      <c r="P230" s="255"/>
      <c r="Q230" s="255"/>
      <c r="R230" s="255"/>
      <c r="S230" s="255"/>
      <c r="T230" s="255"/>
      <c r="U230" s="255"/>
      <c r="V230" s="255"/>
      <c r="W230" s="255"/>
      <c r="X230" s="255"/>
      <c r="Y230" s="255"/>
      <c r="Z230" s="255"/>
      <c r="AA230" s="255"/>
      <c r="AB230" s="255"/>
      <c r="AC230" s="255"/>
      <c r="AD230" s="255"/>
      <c r="AE230" s="255"/>
      <c r="AF230" s="255"/>
    </row>
    <row r="231">
      <c r="A231" s="255"/>
      <c r="B231" s="255"/>
      <c r="C231" s="255"/>
      <c r="D231" s="255"/>
      <c r="E231" s="255"/>
      <c r="F231" s="255"/>
      <c r="G231" s="255"/>
      <c r="H231" s="255"/>
      <c r="I231" s="255"/>
      <c r="J231" s="255"/>
      <c r="K231" s="255"/>
      <c r="L231" s="255"/>
      <c r="M231" s="255"/>
      <c r="N231" s="255"/>
      <c r="O231" s="255"/>
      <c r="P231" s="255"/>
      <c r="Q231" s="255"/>
      <c r="R231" s="255"/>
      <c r="S231" s="255"/>
      <c r="T231" s="255"/>
      <c r="U231" s="255"/>
      <c r="V231" s="255"/>
      <c r="W231" s="255"/>
      <c r="X231" s="255"/>
      <c r="Y231" s="255"/>
      <c r="Z231" s="255"/>
      <c r="AA231" s="255"/>
      <c r="AB231" s="255"/>
      <c r="AC231" s="255"/>
      <c r="AD231" s="255"/>
      <c r="AE231" s="255"/>
      <c r="AF231" s="255"/>
    </row>
    <row r="232">
      <c r="A232" s="255"/>
      <c r="B232" s="255"/>
      <c r="C232" s="255"/>
      <c r="D232" s="255"/>
      <c r="E232" s="255"/>
      <c r="F232" s="255"/>
      <c r="G232" s="255"/>
      <c r="H232" s="255"/>
      <c r="I232" s="255"/>
      <c r="J232" s="255"/>
      <c r="K232" s="255"/>
      <c r="L232" s="255"/>
      <c r="M232" s="255"/>
      <c r="N232" s="255"/>
      <c r="O232" s="255"/>
      <c r="P232" s="255"/>
      <c r="Q232" s="255"/>
      <c r="R232" s="255"/>
      <c r="S232" s="255"/>
      <c r="T232" s="255"/>
      <c r="U232" s="255"/>
      <c r="V232" s="255"/>
      <c r="W232" s="255"/>
      <c r="X232" s="255"/>
      <c r="Y232" s="255"/>
      <c r="Z232" s="255"/>
      <c r="AA232" s="255"/>
      <c r="AB232" s="255"/>
      <c r="AC232" s="255"/>
      <c r="AD232" s="255"/>
      <c r="AE232" s="255"/>
      <c r="AF232" s="255"/>
    </row>
    <row r="233">
      <c r="A233" s="255"/>
      <c r="B233" s="255"/>
      <c r="C233" s="255"/>
      <c r="D233" s="255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55"/>
      <c r="AA233" s="255"/>
      <c r="AB233" s="255"/>
      <c r="AC233" s="255"/>
      <c r="AD233" s="255"/>
      <c r="AE233" s="255"/>
      <c r="AF233" s="255"/>
    </row>
    <row r="234">
      <c r="A234" s="255"/>
      <c r="B234" s="255"/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  <c r="N234" s="255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55"/>
      <c r="AA234" s="255"/>
      <c r="AB234" s="255"/>
      <c r="AC234" s="255"/>
      <c r="AD234" s="255"/>
      <c r="AE234" s="255"/>
      <c r="AF234" s="255"/>
    </row>
    <row r="235">
      <c r="A235" s="255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255"/>
    </row>
    <row r="236">
      <c r="A236" s="255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255"/>
      <c r="M236" s="255"/>
      <c r="N236" s="255"/>
      <c r="O236" s="255"/>
      <c r="P236" s="255"/>
      <c r="Q236" s="255"/>
      <c r="R236" s="255"/>
      <c r="S236" s="255"/>
      <c r="T236" s="255"/>
      <c r="U236" s="255"/>
      <c r="V236" s="255"/>
      <c r="W236" s="255"/>
      <c r="X236" s="255"/>
      <c r="Y236" s="255"/>
      <c r="Z236" s="255"/>
      <c r="AA236" s="255"/>
      <c r="AB236" s="255"/>
      <c r="AC236" s="255"/>
      <c r="AD236" s="255"/>
      <c r="AE236" s="255"/>
      <c r="AF236" s="255"/>
    </row>
    <row r="237">
      <c r="A237" s="255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255"/>
      <c r="M237" s="255"/>
      <c r="N237" s="255"/>
      <c r="O237" s="25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255"/>
      <c r="AA237" s="255"/>
      <c r="AB237" s="255"/>
      <c r="AC237" s="255"/>
      <c r="AD237" s="255"/>
      <c r="AE237" s="255"/>
      <c r="AF237" s="255"/>
    </row>
    <row r="238">
      <c r="A238" s="255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</row>
    <row r="239">
      <c r="A239" s="255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</row>
    <row r="240">
      <c r="A240" s="255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</row>
    <row r="241">
      <c r="A241" s="255"/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  <c r="L241" s="255"/>
      <c r="M241" s="255"/>
      <c r="N241" s="255"/>
      <c r="O241" s="255"/>
      <c r="P241" s="255"/>
      <c r="Q241" s="255"/>
      <c r="R241" s="255"/>
      <c r="S241" s="255"/>
      <c r="T241" s="255"/>
      <c r="U241" s="255"/>
      <c r="V241" s="255"/>
      <c r="W241" s="255"/>
      <c r="X241" s="255"/>
      <c r="Y241" s="255"/>
      <c r="Z241" s="255"/>
      <c r="AA241" s="255"/>
      <c r="AB241" s="255"/>
      <c r="AC241" s="255"/>
      <c r="AD241" s="255"/>
      <c r="AE241" s="255"/>
      <c r="AF241" s="255"/>
    </row>
    <row r="242">
      <c r="A242" s="255"/>
      <c r="B242" s="255"/>
      <c r="C242" s="255"/>
      <c r="D242" s="255"/>
      <c r="E242" s="255"/>
      <c r="F242" s="255"/>
      <c r="G242" s="255"/>
      <c r="H242" s="255"/>
      <c r="I242" s="255"/>
      <c r="J242" s="255"/>
      <c r="K242" s="255"/>
      <c r="L242" s="255"/>
      <c r="M242" s="255"/>
      <c r="N242" s="255"/>
      <c r="O242" s="255"/>
      <c r="P242" s="255"/>
      <c r="Q242" s="255"/>
      <c r="R242" s="255"/>
      <c r="S242" s="255"/>
      <c r="T242" s="255"/>
      <c r="U242" s="255"/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</row>
    <row r="243">
      <c r="A243" s="255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255"/>
      <c r="M243" s="255"/>
      <c r="N243" s="255"/>
      <c r="O243" s="255"/>
      <c r="P243" s="255"/>
      <c r="Q243" s="255"/>
      <c r="R243" s="255"/>
      <c r="S243" s="255"/>
      <c r="T243" s="255"/>
      <c r="U243" s="255"/>
      <c r="V243" s="255"/>
      <c r="W243" s="255"/>
      <c r="X243" s="255"/>
      <c r="Y243" s="255"/>
      <c r="Z243" s="255"/>
      <c r="AA243" s="255"/>
      <c r="AB243" s="255"/>
      <c r="AC243" s="255"/>
      <c r="AD243" s="255"/>
      <c r="AE243" s="255"/>
      <c r="AF243" s="255"/>
    </row>
    <row r="244">
      <c r="A244" s="255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</row>
    <row r="245">
      <c r="A245" s="255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5"/>
      <c r="R245" s="255"/>
      <c r="S245" s="255"/>
      <c r="T245" s="255"/>
      <c r="U245" s="255"/>
      <c r="V245" s="255"/>
      <c r="W245" s="255"/>
      <c r="X245" s="255"/>
      <c r="Y245" s="255"/>
      <c r="Z245" s="255"/>
      <c r="AA245" s="255"/>
      <c r="AB245" s="255"/>
      <c r="AC245" s="255"/>
      <c r="AD245" s="255"/>
      <c r="AE245" s="255"/>
      <c r="AF245" s="255"/>
    </row>
    <row r="246">
      <c r="A246" s="255"/>
      <c r="B246" s="255"/>
      <c r="C246" s="255"/>
      <c r="D246" s="255"/>
      <c r="E246" s="255"/>
      <c r="F246" s="255"/>
      <c r="G246" s="255"/>
      <c r="H246" s="255"/>
      <c r="I246" s="255"/>
      <c r="J246" s="255"/>
      <c r="K246" s="255"/>
      <c r="L246" s="255"/>
      <c r="M246" s="255"/>
      <c r="N246" s="255"/>
      <c r="O246" s="255"/>
      <c r="P246" s="255"/>
      <c r="Q246" s="255"/>
      <c r="R246" s="255"/>
      <c r="S246" s="255"/>
      <c r="T246" s="255"/>
      <c r="U246" s="255"/>
      <c r="V246" s="255"/>
      <c r="W246" s="255"/>
      <c r="X246" s="255"/>
      <c r="Y246" s="255"/>
      <c r="Z246" s="255"/>
      <c r="AA246" s="255"/>
      <c r="AB246" s="255"/>
      <c r="AC246" s="255"/>
      <c r="AD246" s="255"/>
      <c r="AE246" s="255"/>
      <c r="AF246" s="255"/>
    </row>
    <row r="247">
      <c r="A247" s="255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255"/>
      <c r="M247" s="255"/>
      <c r="N247" s="255"/>
      <c r="O247" s="255"/>
      <c r="P247" s="255"/>
      <c r="Q247" s="255"/>
      <c r="R247" s="255"/>
      <c r="S247" s="255"/>
      <c r="T247" s="255"/>
      <c r="U247" s="255"/>
      <c r="V247" s="255"/>
      <c r="W247" s="255"/>
      <c r="X247" s="255"/>
      <c r="Y247" s="255"/>
      <c r="Z247" s="255"/>
      <c r="AA247" s="255"/>
      <c r="AB247" s="255"/>
      <c r="AC247" s="255"/>
      <c r="AD247" s="255"/>
      <c r="AE247" s="255"/>
      <c r="AF247" s="255"/>
    </row>
    <row r="248">
      <c r="A248" s="255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5"/>
      <c r="S248" s="255"/>
      <c r="T248" s="255"/>
      <c r="U248" s="255"/>
      <c r="V248" s="255"/>
      <c r="W248" s="255"/>
      <c r="X248" s="255"/>
      <c r="Y248" s="255"/>
      <c r="Z248" s="255"/>
      <c r="AA248" s="255"/>
      <c r="AB248" s="255"/>
      <c r="AC248" s="255"/>
      <c r="AD248" s="255"/>
      <c r="AE248" s="255"/>
      <c r="AF248" s="255"/>
    </row>
    <row r="249">
      <c r="A249" s="255"/>
      <c r="B249" s="255"/>
      <c r="C249" s="255"/>
      <c r="D249" s="255"/>
      <c r="E249" s="255"/>
      <c r="F249" s="255"/>
      <c r="G249" s="255"/>
      <c r="H249" s="255"/>
      <c r="I249" s="255"/>
      <c r="J249" s="255"/>
      <c r="K249" s="255"/>
      <c r="L249" s="255"/>
      <c r="M249" s="255"/>
      <c r="N249" s="255"/>
      <c r="O249" s="255"/>
      <c r="P249" s="255"/>
      <c r="Q249" s="255"/>
      <c r="R249" s="255"/>
      <c r="S249" s="255"/>
      <c r="T249" s="255"/>
      <c r="U249" s="255"/>
      <c r="V249" s="255"/>
      <c r="W249" s="255"/>
      <c r="X249" s="255"/>
      <c r="Y249" s="255"/>
      <c r="Z249" s="255"/>
      <c r="AA249" s="255"/>
      <c r="AB249" s="255"/>
      <c r="AC249" s="255"/>
      <c r="AD249" s="255"/>
      <c r="AE249" s="255"/>
      <c r="AF249" s="255"/>
    </row>
    <row r="250">
      <c r="A250" s="255"/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5"/>
      <c r="AE250" s="255"/>
      <c r="AF250" s="255"/>
    </row>
    <row r="251">
      <c r="A251" s="255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255"/>
      <c r="M251" s="255"/>
      <c r="N251" s="255"/>
      <c r="O251" s="25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5"/>
      <c r="Z251" s="255"/>
      <c r="AA251" s="255"/>
      <c r="AB251" s="255"/>
      <c r="AC251" s="255"/>
      <c r="AD251" s="255"/>
      <c r="AE251" s="255"/>
      <c r="AF251" s="255"/>
    </row>
    <row r="252">
      <c r="A252" s="255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255"/>
      <c r="M252" s="255"/>
      <c r="N252" s="255"/>
      <c r="O252" s="255"/>
      <c r="P252" s="255"/>
      <c r="Q252" s="255"/>
      <c r="R252" s="255"/>
      <c r="S252" s="255"/>
      <c r="T252" s="255"/>
      <c r="U252" s="255"/>
      <c r="V252" s="255"/>
      <c r="W252" s="255"/>
      <c r="X252" s="255"/>
      <c r="Y252" s="255"/>
      <c r="Z252" s="255"/>
      <c r="AA252" s="255"/>
      <c r="AB252" s="255"/>
      <c r="AC252" s="255"/>
      <c r="AD252" s="255"/>
      <c r="AE252" s="255"/>
      <c r="AF252" s="255"/>
    </row>
    <row r="253">
      <c r="A253" s="255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255"/>
      <c r="M253" s="255"/>
      <c r="N253" s="255"/>
      <c r="O253" s="255"/>
      <c r="P253" s="255"/>
      <c r="Q253" s="255"/>
      <c r="R253" s="255"/>
      <c r="S253" s="255"/>
      <c r="T253" s="255"/>
      <c r="U253" s="255"/>
      <c r="V253" s="255"/>
      <c r="W253" s="255"/>
      <c r="X253" s="255"/>
      <c r="Y253" s="255"/>
      <c r="Z253" s="255"/>
      <c r="AA253" s="255"/>
      <c r="AB253" s="255"/>
      <c r="AC253" s="255"/>
      <c r="AD253" s="255"/>
      <c r="AE253" s="255"/>
      <c r="AF253" s="255"/>
    </row>
    <row r="254">
      <c r="A254" s="255"/>
      <c r="B254" s="255"/>
      <c r="C254" s="255"/>
      <c r="D254" s="255"/>
      <c r="E254" s="255"/>
      <c r="F254" s="255"/>
      <c r="G254" s="255"/>
      <c r="H254" s="255"/>
      <c r="I254" s="255"/>
      <c r="J254" s="255"/>
      <c r="K254" s="255"/>
      <c r="L254" s="255"/>
      <c r="M254" s="255"/>
      <c r="N254" s="255"/>
      <c r="O254" s="255"/>
      <c r="P254" s="255"/>
      <c r="Q254" s="255"/>
      <c r="R254" s="255"/>
      <c r="S254" s="255"/>
      <c r="T254" s="255"/>
      <c r="U254" s="255"/>
      <c r="V254" s="255"/>
      <c r="W254" s="255"/>
      <c r="X254" s="255"/>
      <c r="Y254" s="255"/>
      <c r="Z254" s="255"/>
      <c r="AA254" s="255"/>
      <c r="AB254" s="255"/>
      <c r="AC254" s="255"/>
      <c r="AD254" s="255"/>
      <c r="AE254" s="255"/>
      <c r="AF254" s="255"/>
    </row>
    <row r="255">
      <c r="A255" s="255"/>
      <c r="B255" s="255"/>
      <c r="C255" s="255"/>
      <c r="D255" s="255"/>
      <c r="E255" s="255"/>
      <c r="F255" s="255"/>
      <c r="G255" s="255"/>
      <c r="H255" s="255"/>
      <c r="I255" s="255"/>
      <c r="J255" s="255"/>
      <c r="K255" s="255"/>
      <c r="L255" s="255"/>
      <c r="M255" s="255"/>
      <c r="N255" s="255"/>
      <c r="O255" s="255"/>
      <c r="P255" s="255"/>
      <c r="Q255" s="255"/>
      <c r="R255" s="255"/>
      <c r="S255" s="255"/>
      <c r="T255" s="255"/>
      <c r="U255" s="255"/>
      <c r="V255" s="255"/>
      <c r="W255" s="255"/>
      <c r="X255" s="255"/>
      <c r="Y255" s="255"/>
      <c r="Z255" s="255"/>
      <c r="AA255" s="255"/>
      <c r="AB255" s="255"/>
      <c r="AC255" s="255"/>
      <c r="AD255" s="255"/>
      <c r="AE255" s="255"/>
      <c r="AF255" s="255"/>
    </row>
    <row r="256">
      <c r="A256" s="255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255"/>
      <c r="M256" s="255"/>
      <c r="N256" s="255"/>
      <c r="O256" s="25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5"/>
      <c r="Z256" s="255"/>
      <c r="AA256" s="255"/>
      <c r="AB256" s="255"/>
      <c r="AC256" s="255"/>
      <c r="AD256" s="255"/>
      <c r="AE256" s="255"/>
      <c r="AF256" s="255"/>
    </row>
    <row r="257">
      <c r="A257" s="255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255"/>
      <c r="M257" s="255"/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</row>
    <row r="258">
      <c r="A258" s="255"/>
      <c r="B258" s="255"/>
      <c r="C258" s="255"/>
      <c r="D258" s="255"/>
      <c r="E258" s="255"/>
      <c r="F258" s="255"/>
      <c r="G258" s="255"/>
      <c r="H258" s="255"/>
      <c r="I258" s="255"/>
      <c r="J258" s="255"/>
      <c r="K258" s="255"/>
      <c r="L258" s="255"/>
      <c r="M258" s="255"/>
      <c r="N258" s="255"/>
      <c r="O258" s="255"/>
      <c r="P258" s="255"/>
      <c r="Q258" s="255"/>
      <c r="R258" s="255"/>
      <c r="S258" s="255"/>
      <c r="T258" s="255"/>
      <c r="U258" s="255"/>
      <c r="V258" s="255"/>
      <c r="W258" s="255"/>
      <c r="X258" s="255"/>
      <c r="Y258" s="255"/>
      <c r="Z258" s="255"/>
      <c r="AA258" s="255"/>
      <c r="AB258" s="255"/>
      <c r="AC258" s="255"/>
      <c r="AD258" s="255"/>
      <c r="AE258" s="255"/>
      <c r="AF258" s="255"/>
    </row>
    <row r="259">
      <c r="A259" s="255"/>
      <c r="B259" s="255"/>
      <c r="C259" s="255"/>
      <c r="D259" s="255"/>
      <c r="E259" s="255"/>
      <c r="F259" s="255"/>
      <c r="G259" s="255"/>
      <c r="H259" s="255"/>
      <c r="I259" s="255"/>
      <c r="J259" s="255"/>
      <c r="K259" s="255"/>
      <c r="L259" s="255"/>
      <c r="M259" s="255"/>
      <c r="N259" s="255"/>
      <c r="O259" s="255"/>
      <c r="P259" s="255"/>
      <c r="Q259" s="255"/>
      <c r="R259" s="255"/>
      <c r="S259" s="255"/>
      <c r="T259" s="255"/>
      <c r="U259" s="255"/>
      <c r="V259" s="255"/>
      <c r="W259" s="255"/>
      <c r="X259" s="255"/>
      <c r="Y259" s="255"/>
      <c r="Z259" s="255"/>
      <c r="AA259" s="255"/>
      <c r="AB259" s="255"/>
      <c r="AC259" s="255"/>
      <c r="AD259" s="255"/>
      <c r="AE259" s="255"/>
      <c r="AF259" s="255"/>
    </row>
    <row r="260">
      <c r="A260" s="255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255"/>
      <c r="M260" s="255"/>
      <c r="N260" s="255"/>
      <c r="O260" s="25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5"/>
      <c r="Z260" s="255"/>
      <c r="AA260" s="255"/>
      <c r="AB260" s="255"/>
      <c r="AC260" s="255"/>
      <c r="AD260" s="255"/>
      <c r="AE260" s="255"/>
      <c r="AF260" s="255"/>
    </row>
    <row r="261">
      <c r="A261" s="255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255"/>
      <c r="M261" s="255"/>
      <c r="N261" s="255"/>
      <c r="O261" s="255"/>
      <c r="P261" s="255"/>
      <c r="Q261" s="255"/>
      <c r="R261" s="255"/>
      <c r="S261" s="255"/>
      <c r="T261" s="255"/>
      <c r="U261" s="255"/>
      <c r="V261" s="255"/>
      <c r="W261" s="255"/>
      <c r="X261" s="255"/>
      <c r="Y261" s="255"/>
      <c r="Z261" s="255"/>
      <c r="AA261" s="255"/>
      <c r="AB261" s="255"/>
      <c r="AC261" s="255"/>
      <c r="AD261" s="255"/>
      <c r="AE261" s="255"/>
      <c r="AF261" s="255"/>
    </row>
    <row r="262">
      <c r="A262" s="255"/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</row>
    <row r="263">
      <c r="A263" s="255"/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</row>
    <row r="264">
      <c r="A264" s="255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255"/>
      <c r="M264" s="255"/>
      <c r="N264" s="255"/>
      <c r="O264" s="255"/>
      <c r="P264" s="255"/>
      <c r="Q264" s="255"/>
      <c r="R264" s="255"/>
      <c r="S264" s="255"/>
      <c r="T264" s="255"/>
      <c r="U264" s="255"/>
      <c r="V264" s="255"/>
      <c r="W264" s="255"/>
      <c r="X264" s="255"/>
      <c r="Y264" s="255"/>
      <c r="Z264" s="255"/>
      <c r="AA264" s="255"/>
      <c r="AB264" s="255"/>
      <c r="AC264" s="255"/>
      <c r="AD264" s="255"/>
      <c r="AE264" s="255"/>
      <c r="AF264" s="255"/>
    </row>
    <row r="265">
      <c r="A265" s="255"/>
      <c r="B265" s="255"/>
      <c r="C265" s="255"/>
      <c r="D265" s="255"/>
      <c r="E265" s="255"/>
      <c r="F265" s="255"/>
      <c r="G265" s="255"/>
      <c r="H265" s="255"/>
      <c r="I265" s="255"/>
      <c r="J265" s="255"/>
      <c r="K265" s="255"/>
      <c r="L265" s="255"/>
      <c r="M265" s="255"/>
      <c r="N265" s="255"/>
      <c r="O265" s="255"/>
      <c r="P265" s="255"/>
      <c r="Q265" s="255"/>
      <c r="R265" s="255"/>
      <c r="S265" s="255"/>
      <c r="T265" s="255"/>
      <c r="U265" s="255"/>
      <c r="V265" s="255"/>
      <c r="W265" s="255"/>
      <c r="X265" s="255"/>
      <c r="Y265" s="255"/>
      <c r="Z265" s="255"/>
      <c r="AA265" s="255"/>
      <c r="AB265" s="255"/>
      <c r="AC265" s="255"/>
      <c r="AD265" s="255"/>
      <c r="AE265" s="255"/>
      <c r="AF265" s="255"/>
    </row>
    <row r="266">
      <c r="A266" s="255"/>
      <c r="B266" s="255"/>
      <c r="C266" s="255"/>
      <c r="D266" s="255"/>
      <c r="E266" s="255"/>
      <c r="F266" s="255"/>
      <c r="G266" s="255"/>
      <c r="H266" s="255"/>
      <c r="I266" s="255"/>
      <c r="J266" s="255"/>
      <c r="K266" s="255"/>
      <c r="L266" s="255"/>
      <c r="M266" s="255"/>
      <c r="N266" s="255"/>
      <c r="O266" s="255"/>
      <c r="P266" s="255"/>
      <c r="Q266" s="255"/>
      <c r="R266" s="255"/>
      <c r="S266" s="255"/>
      <c r="T266" s="255"/>
      <c r="U266" s="255"/>
      <c r="V266" s="255"/>
      <c r="W266" s="255"/>
      <c r="X266" s="255"/>
      <c r="Y266" s="255"/>
      <c r="Z266" s="255"/>
      <c r="AA266" s="255"/>
      <c r="AB266" s="255"/>
      <c r="AC266" s="255"/>
      <c r="AD266" s="255"/>
      <c r="AE266" s="255"/>
      <c r="AF266" s="255"/>
    </row>
    <row r="267">
      <c r="A267" s="255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5"/>
      <c r="U267" s="255"/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</row>
    <row r="268">
      <c r="A268" s="255"/>
      <c r="B268" s="255"/>
      <c r="C268" s="255"/>
      <c r="D268" s="255"/>
      <c r="E268" s="255"/>
      <c r="F268" s="255"/>
      <c r="G268" s="255"/>
      <c r="H268" s="255"/>
      <c r="I268" s="255"/>
      <c r="J268" s="255"/>
      <c r="K268" s="255"/>
      <c r="L268" s="255"/>
      <c r="M268" s="255"/>
      <c r="N268" s="255"/>
      <c r="O268" s="255"/>
      <c r="P268" s="255"/>
      <c r="Q268" s="255"/>
      <c r="R268" s="255"/>
      <c r="S268" s="255"/>
      <c r="T268" s="255"/>
      <c r="U268" s="255"/>
      <c r="V268" s="255"/>
      <c r="W268" s="255"/>
      <c r="X268" s="255"/>
      <c r="Y268" s="255"/>
      <c r="Z268" s="255"/>
      <c r="AA268" s="255"/>
      <c r="AB268" s="255"/>
      <c r="AC268" s="255"/>
      <c r="AD268" s="255"/>
      <c r="AE268" s="255"/>
      <c r="AF268" s="255"/>
    </row>
    <row r="269">
      <c r="A269" s="255"/>
      <c r="B269" s="255"/>
      <c r="C269" s="255"/>
      <c r="D269" s="255"/>
      <c r="E269" s="255"/>
      <c r="F269" s="255"/>
      <c r="G269" s="255"/>
      <c r="H269" s="255"/>
      <c r="I269" s="255"/>
      <c r="J269" s="255"/>
      <c r="K269" s="255"/>
      <c r="L269" s="255"/>
      <c r="M269" s="255"/>
      <c r="N269" s="255"/>
      <c r="O269" s="255"/>
      <c r="P269" s="255"/>
      <c r="Q269" s="255"/>
      <c r="R269" s="255"/>
      <c r="S269" s="255"/>
      <c r="T269" s="255"/>
      <c r="U269" s="255"/>
      <c r="V269" s="255"/>
      <c r="W269" s="255"/>
      <c r="X269" s="255"/>
      <c r="Y269" s="255"/>
      <c r="Z269" s="255"/>
      <c r="AA269" s="255"/>
      <c r="AB269" s="255"/>
      <c r="AC269" s="255"/>
      <c r="AD269" s="255"/>
      <c r="AE269" s="255"/>
      <c r="AF269" s="255"/>
    </row>
    <row r="270">
      <c r="A270" s="25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255"/>
      <c r="M270" s="255"/>
      <c r="N270" s="255"/>
      <c r="O270" s="255"/>
      <c r="P270" s="255"/>
      <c r="Q270" s="255"/>
      <c r="R270" s="255"/>
      <c r="S270" s="255"/>
      <c r="T270" s="255"/>
      <c r="U270" s="255"/>
      <c r="V270" s="255"/>
      <c r="W270" s="255"/>
      <c r="X270" s="255"/>
      <c r="Y270" s="255"/>
      <c r="Z270" s="255"/>
      <c r="AA270" s="255"/>
      <c r="AB270" s="255"/>
      <c r="AC270" s="255"/>
      <c r="AD270" s="255"/>
      <c r="AE270" s="255"/>
      <c r="AF270" s="255"/>
    </row>
    <row r="271">
      <c r="A271" s="255"/>
      <c r="B271" s="255"/>
      <c r="C271" s="255"/>
      <c r="D271" s="255"/>
      <c r="E271" s="255"/>
      <c r="F271" s="255"/>
      <c r="G271" s="255"/>
      <c r="H271" s="255"/>
      <c r="I271" s="255"/>
      <c r="J271" s="255"/>
      <c r="K271" s="255"/>
      <c r="L271" s="255"/>
      <c r="M271" s="255"/>
      <c r="N271" s="255"/>
      <c r="O271" s="255"/>
      <c r="P271" s="255"/>
      <c r="Q271" s="255"/>
      <c r="R271" s="255"/>
      <c r="S271" s="255"/>
      <c r="T271" s="255"/>
      <c r="U271" s="255"/>
      <c r="V271" s="255"/>
      <c r="W271" s="255"/>
      <c r="X271" s="255"/>
      <c r="Y271" s="255"/>
      <c r="Z271" s="255"/>
      <c r="AA271" s="255"/>
      <c r="AB271" s="255"/>
      <c r="AC271" s="255"/>
      <c r="AD271" s="255"/>
      <c r="AE271" s="255"/>
      <c r="AF271" s="255"/>
    </row>
    <row r="272">
      <c r="A272" s="255"/>
      <c r="B272" s="255"/>
      <c r="C272" s="255"/>
      <c r="D272" s="255"/>
      <c r="E272" s="255"/>
      <c r="F272" s="255"/>
      <c r="G272" s="255"/>
      <c r="H272" s="255"/>
      <c r="I272" s="255"/>
      <c r="J272" s="255"/>
      <c r="K272" s="255"/>
      <c r="L272" s="255"/>
      <c r="M272" s="255"/>
      <c r="N272" s="255"/>
      <c r="O272" s="255"/>
      <c r="P272" s="255"/>
      <c r="Q272" s="255"/>
      <c r="R272" s="255"/>
      <c r="S272" s="255"/>
      <c r="T272" s="255"/>
      <c r="U272" s="255"/>
      <c r="V272" s="255"/>
      <c r="W272" s="255"/>
      <c r="X272" s="255"/>
      <c r="Y272" s="255"/>
      <c r="Z272" s="255"/>
      <c r="AA272" s="255"/>
      <c r="AB272" s="255"/>
      <c r="AC272" s="255"/>
      <c r="AD272" s="255"/>
      <c r="AE272" s="255"/>
      <c r="AF272" s="255"/>
    </row>
    <row r="273">
      <c r="A273" s="25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5"/>
      <c r="U273" s="255"/>
      <c r="V273" s="255"/>
      <c r="W273" s="255"/>
      <c r="X273" s="255"/>
      <c r="Y273" s="255"/>
      <c r="Z273" s="255"/>
      <c r="AA273" s="255"/>
      <c r="AB273" s="255"/>
      <c r="AC273" s="255"/>
      <c r="AD273" s="255"/>
      <c r="AE273" s="255"/>
      <c r="AF273" s="255"/>
    </row>
    <row r="274">
      <c r="A274" s="25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5"/>
      <c r="U274" s="255"/>
      <c r="V274" s="255"/>
      <c r="W274" s="255"/>
      <c r="X274" s="255"/>
      <c r="Y274" s="255"/>
      <c r="Z274" s="255"/>
      <c r="AA274" s="255"/>
      <c r="AB274" s="255"/>
      <c r="AC274" s="255"/>
      <c r="AD274" s="255"/>
      <c r="AE274" s="255"/>
      <c r="AF274" s="255"/>
    </row>
    <row r="275">
      <c r="A275" s="255"/>
      <c r="B275" s="255"/>
      <c r="C275" s="255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5"/>
      <c r="U275" s="255"/>
      <c r="V275" s="255"/>
      <c r="W275" s="255"/>
      <c r="X275" s="255"/>
      <c r="Y275" s="255"/>
      <c r="Z275" s="255"/>
      <c r="AA275" s="255"/>
      <c r="AB275" s="255"/>
      <c r="AC275" s="255"/>
      <c r="AD275" s="255"/>
      <c r="AE275" s="255"/>
      <c r="AF275" s="255"/>
    </row>
    <row r="276">
      <c r="A276" s="255"/>
      <c r="B276" s="255"/>
      <c r="C276" s="255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</row>
    <row r="277">
      <c r="A277" s="25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5"/>
      <c r="U277" s="255"/>
      <c r="V277" s="255"/>
      <c r="W277" s="255"/>
      <c r="X277" s="255"/>
      <c r="Y277" s="255"/>
      <c r="Z277" s="255"/>
      <c r="AA277" s="255"/>
      <c r="AB277" s="255"/>
      <c r="AC277" s="255"/>
      <c r="AD277" s="255"/>
      <c r="AE277" s="255"/>
      <c r="AF277" s="255"/>
    </row>
    <row r="278">
      <c r="A278" s="255"/>
      <c r="B278" s="255"/>
      <c r="C278" s="255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255"/>
    </row>
    <row r="279">
      <c r="A279" s="255"/>
      <c r="B279" s="255"/>
      <c r="C279" s="255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255"/>
    </row>
    <row r="280">
      <c r="A280" s="25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5"/>
      <c r="U280" s="255"/>
      <c r="V280" s="255"/>
      <c r="W280" s="255"/>
      <c r="X280" s="255"/>
      <c r="Y280" s="255"/>
      <c r="Z280" s="255"/>
      <c r="AA280" s="255"/>
      <c r="AB280" s="255"/>
      <c r="AC280" s="255"/>
      <c r="AD280" s="255"/>
      <c r="AE280" s="255"/>
      <c r="AF280" s="255"/>
    </row>
    <row r="281">
      <c r="A281" s="255"/>
      <c r="B281" s="255"/>
      <c r="C281" s="255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5"/>
      <c r="U281" s="255"/>
      <c r="V281" s="255"/>
      <c r="W281" s="255"/>
      <c r="X281" s="255"/>
      <c r="Y281" s="255"/>
      <c r="Z281" s="255"/>
      <c r="AA281" s="255"/>
      <c r="AB281" s="255"/>
      <c r="AC281" s="255"/>
      <c r="AD281" s="255"/>
      <c r="AE281" s="255"/>
      <c r="AF281" s="255"/>
    </row>
    <row r="282">
      <c r="A282" s="255"/>
      <c r="B282" s="255"/>
      <c r="C282" s="255"/>
      <c r="D282" s="255"/>
      <c r="E282" s="255"/>
      <c r="F282" s="255"/>
      <c r="G282" s="255"/>
      <c r="H282" s="255"/>
      <c r="I282" s="255"/>
      <c r="J282" s="255"/>
      <c r="K282" s="255"/>
      <c r="L282" s="255"/>
      <c r="M282" s="255"/>
      <c r="N282" s="255"/>
      <c r="O282" s="255"/>
      <c r="P282" s="255"/>
      <c r="Q282" s="255"/>
      <c r="R282" s="255"/>
      <c r="S282" s="255"/>
      <c r="T282" s="255"/>
      <c r="U282" s="255"/>
      <c r="V282" s="255"/>
      <c r="W282" s="255"/>
      <c r="X282" s="255"/>
      <c r="Y282" s="255"/>
      <c r="Z282" s="255"/>
      <c r="AA282" s="255"/>
      <c r="AB282" s="255"/>
      <c r="AC282" s="255"/>
      <c r="AD282" s="255"/>
      <c r="AE282" s="255"/>
      <c r="AF282" s="255"/>
    </row>
    <row r="283">
      <c r="A283" s="25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255"/>
      <c r="M283" s="255"/>
      <c r="N283" s="255"/>
      <c r="O283" s="255"/>
      <c r="P283" s="255"/>
      <c r="Q283" s="255"/>
      <c r="R283" s="255"/>
      <c r="S283" s="255"/>
      <c r="T283" s="255"/>
      <c r="U283" s="255"/>
      <c r="V283" s="255"/>
      <c r="W283" s="255"/>
      <c r="X283" s="255"/>
      <c r="Y283" s="255"/>
      <c r="Z283" s="255"/>
      <c r="AA283" s="255"/>
      <c r="AB283" s="255"/>
      <c r="AC283" s="255"/>
      <c r="AD283" s="255"/>
      <c r="AE283" s="255"/>
      <c r="AF283" s="255"/>
    </row>
    <row r="284">
      <c r="A284" s="255"/>
      <c r="B284" s="255"/>
      <c r="C284" s="255"/>
      <c r="D284" s="255"/>
      <c r="E284" s="255"/>
      <c r="F284" s="255"/>
      <c r="G284" s="255"/>
      <c r="H284" s="255"/>
      <c r="I284" s="255"/>
      <c r="J284" s="255"/>
      <c r="K284" s="255"/>
      <c r="L284" s="255"/>
      <c r="M284" s="255"/>
      <c r="N284" s="255"/>
      <c r="O284" s="255"/>
      <c r="P284" s="255"/>
      <c r="Q284" s="255"/>
      <c r="R284" s="255"/>
      <c r="S284" s="255"/>
      <c r="T284" s="255"/>
      <c r="U284" s="255"/>
      <c r="V284" s="255"/>
      <c r="W284" s="255"/>
      <c r="X284" s="255"/>
      <c r="Y284" s="255"/>
      <c r="Z284" s="255"/>
      <c r="AA284" s="255"/>
      <c r="AB284" s="255"/>
      <c r="AC284" s="255"/>
      <c r="AD284" s="255"/>
      <c r="AE284" s="255"/>
      <c r="AF284" s="255"/>
    </row>
    <row r="285">
      <c r="A285" s="255"/>
      <c r="B285" s="255"/>
      <c r="C285" s="255"/>
      <c r="D285" s="255"/>
      <c r="E285" s="255"/>
      <c r="F285" s="255"/>
      <c r="G285" s="255"/>
      <c r="H285" s="255"/>
      <c r="I285" s="255"/>
      <c r="J285" s="255"/>
      <c r="K285" s="255"/>
      <c r="L285" s="255"/>
      <c r="M285" s="255"/>
      <c r="N285" s="255"/>
      <c r="O285" s="255"/>
      <c r="P285" s="255"/>
      <c r="Q285" s="255"/>
      <c r="R285" s="255"/>
      <c r="S285" s="255"/>
      <c r="T285" s="255"/>
      <c r="U285" s="255"/>
      <c r="V285" s="255"/>
      <c r="W285" s="255"/>
      <c r="X285" s="255"/>
      <c r="Y285" s="255"/>
      <c r="Z285" s="255"/>
      <c r="AA285" s="255"/>
      <c r="AB285" s="255"/>
      <c r="AC285" s="255"/>
      <c r="AD285" s="255"/>
      <c r="AE285" s="255"/>
      <c r="AF285" s="255"/>
    </row>
    <row r="286">
      <c r="A286" s="25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255"/>
      <c r="M286" s="255"/>
      <c r="N286" s="255"/>
      <c r="O286" s="255"/>
      <c r="P286" s="255"/>
      <c r="Q286" s="255"/>
      <c r="R286" s="255"/>
      <c r="S286" s="255"/>
      <c r="T286" s="255"/>
      <c r="U286" s="255"/>
      <c r="V286" s="255"/>
      <c r="W286" s="255"/>
      <c r="X286" s="255"/>
      <c r="Y286" s="255"/>
      <c r="Z286" s="255"/>
      <c r="AA286" s="255"/>
      <c r="AB286" s="255"/>
      <c r="AC286" s="255"/>
      <c r="AD286" s="255"/>
      <c r="AE286" s="255"/>
      <c r="AF286" s="255"/>
    </row>
    <row r="287">
      <c r="A287" s="255"/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5"/>
    </row>
    <row r="288">
      <c r="A288" s="255"/>
      <c r="B288" s="255"/>
      <c r="C288" s="255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5"/>
      <c r="U288" s="255"/>
      <c r="V288" s="255"/>
      <c r="W288" s="255"/>
      <c r="X288" s="255"/>
      <c r="Y288" s="255"/>
      <c r="Z288" s="255"/>
      <c r="AA288" s="255"/>
      <c r="AB288" s="255"/>
      <c r="AC288" s="255"/>
      <c r="AD288" s="255"/>
      <c r="AE288" s="255"/>
      <c r="AF288" s="255"/>
    </row>
    <row r="289">
      <c r="A289" s="25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</row>
    <row r="290">
      <c r="A290" s="255"/>
      <c r="B290" s="255"/>
      <c r="C290" s="255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</row>
    <row r="291">
      <c r="A291" s="255"/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</row>
    <row r="292">
      <c r="A292" s="25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5"/>
      <c r="U292" s="255"/>
      <c r="V292" s="255"/>
      <c r="W292" s="255"/>
      <c r="X292" s="255"/>
      <c r="Y292" s="255"/>
      <c r="Z292" s="255"/>
      <c r="AA292" s="255"/>
      <c r="AB292" s="255"/>
      <c r="AC292" s="255"/>
      <c r="AD292" s="255"/>
      <c r="AE292" s="255"/>
      <c r="AF292" s="255"/>
    </row>
    <row r="293">
      <c r="A293" s="255"/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5"/>
      <c r="AE293" s="255"/>
      <c r="AF293" s="255"/>
    </row>
    <row r="294">
      <c r="A294" s="255"/>
      <c r="B294" s="255"/>
      <c r="C294" s="255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5"/>
      <c r="U294" s="255"/>
      <c r="V294" s="255"/>
      <c r="W294" s="255"/>
      <c r="X294" s="255"/>
      <c r="Y294" s="255"/>
      <c r="Z294" s="255"/>
      <c r="AA294" s="255"/>
      <c r="AB294" s="255"/>
      <c r="AC294" s="255"/>
      <c r="AD294" s="255"/>
      <c r="AE294" s="255"/>
      <c r="AF294" s="255"/>
    </row>
    <row r="295">
      <c r="A295" s="25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</row>
    <row r="296">
      <c r="A296" s="255"/>
      <c r="B296" s="255"/>
      <c r="C296" s="255"/>
      <c r="D296" s="255"/>
      <c r="E296" s="255"/>
      <c r="F296" s="255"/>
      <c r="G296" s="255"/>
      <c r="H296" s="255"/>
      <c r="I296" s="255"/>
      <c r="J296" s="255"/>
      <c r="K296" s="255"/>
      <c r="L296" s="255"/>
      <c r="M296" s="255"/>
      <c r="N296" s="255"/>
      <c r="O296" s="255"/>
      <c r="P296" s="255"/>
      <c r="Q296" s="255"/>
      <c r="R296" s="255"/>
      <c r="S296" s="255"/>
      <c r="T296" s="255"/>
      <c r="U296" s="255"/>
      <c r="V296" s="255"/>
      <c r="W296" s="255"/>
      <c r="X296" s="255"/>
      <c r="Y296" s="255"/>
      <c r="Z296" s="255"/>
      <c r="AA296" s="255"/>
      <c r="AB296" s="255"/>
      <c r="AC296" s="255"/>
      <c r="AD296" s="255"/>
      <c r="AE296" s="255"/>
      <c r="AF296" s="255"/>
    </row>
    <row r="297">
      <c r="A297" s="255"/>
      <c r="B297" s="255"/>
      <c r="C297" s="255"/>
      <c r="D297" s="255"/>
      <c r="E297" s="255"/>
      <c r="F297" s="255"/>
      <c r="G297" s="255"/>
      <c r="H297" s="255"/>
      <c r="I297" s="255"/>
      <c r="J297" s="255"/>
      <c r="K297" s="255"/>
      <c r="L297" s="255"/>
      <c r="M297" s="255"/>
      <c r="N297" s="255"/>
      <c r="O297" s="255"/>
      <c r="P297" s="255"/>
      <c r="Q297" s="255"/>
      <c r="R297" s="255"/>
      <c r="S297" s="255"/>
      <c r="T297" s="255"/>
      <c r="U297" s="255"/>
      <c r="V297" s="255"/>
      <c r="W297" s="255"/>
      <c r="X297" s="255"/>
      <c r="Y297" s="255"/>
      <c r="Z297" s="255"/>
      <c r="AA297" s="255"/>
      <c r="AB297" s="255"/>
      <c r="AC297" s="255"/>
      <c r="AD297" s="255"/>
      <c r="AE297" s="255"/>
      <c r="AF297" s="255"/>
    </row>
    <row r="298">
      <c r="A298" s="25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  <c r="S298" s="255"/>
      <c r="T298" s="255"/>
      <c r="U298" s="255"/>
      <c r="V298" s="255"/>
      <c r="W298" s="255"/>
      <c r="X298" s="255"/>
      <c r="Y298" s="255"/>
      <c r="Z298" s="255"/>
      <c r="AA298" s="255"/>
      <c r="AB298" s="255"/>
      <c r="AC298" s="255"/>
      <c r="AD298" s="255"/>
      <c r="AE298" s="255"/>
      <c r="AF298" s="255"/>
    </row>
    <row r="299">
      <c r="A299" s="255"/>
      <c r="B299" s="255"/>
      <c r="C299" s="255"/>
      <c r="D299" s="255"/>
      <c r="E299" s="255"/>
      <c r="F299" s="255"/>
      <c r="G299" s="255"/>
      <c r="H299" s="255"/>
      <c r="I299" s="255"/>
      <c r="J299" s="255"/>
      <c r="K299" s="255"/>
      <c r="L299" s="255"/>
      <c r="M299" s="255"/>
      <c r="N299" s="255"/>
      <c r="O299" s="255"/>
      <c r="P299" s="255"/>
      <c r="Q299" s="255"/>
      <c r="R299" s="255"/>
      <c r="S299" s="255"/>
      <c r="T299" s="255"/>
      <c r="U299" s="255"/>
      <c r="V299" s="255"/>
      <c r="W299" s="255"/>
      <c r="X299" s="255"/>
      <c r="Y299" s="255"/>
      <c r="Z299" s="255"/>
      <c r="AA299" s="255"/>
      <c r="AB299" s="255"/>
      <c r="AC299" s="255"/>
      <c r="AD299" s="255"/>
      <c r="AE299" s="255"/>
      <c r="AF299" s="255"/>
    </row>
    <row r="300">
      <c r="A300" s="255"/>
      <c r="B300" s="255"/>
      <c r="C300" s="255"/>
      <c r="D300" s="255"/>
      <c r="E300" s="255"/>
      <c r="F300" s="255"/>
      <c r="G300" s="255"/>
      <c r="H300" s="255"/>
      <c r="I300" s="255"/>
      <c r="J300" s="255"/>
      <c r="K300" s="255"/>
      <c r="L300" s="255"/>
      <c r="M300" s="255"/>
      <c r="N300" s="255"/>
      <c r="O300" s="255"/>
      <c r="P300" s="255"/>
      <c r="Q300" s="255"/>
      <c r="R300" s="255"/>
      <c r="S300" s="255"/>
      <c r="T300" s="255"/>
      <c r="U300" s="255"/>
      <c r="V300" s="255"/>
      <c r="W300" s="255"/>
      <c r="X300" s="255"/>
      <c r="Y300" s="255"/>
      <c r="Z300" s="255"/>
      <c r="AA300" s="255"/>
      <c r="AB300" s="255"/>
      <c r="AC300" s="255"/>
      <c r="AD300" s="255"/>
      <c r="AE300" s="255"/>
      <c r="AF300" s="255"/>
    </row>
    <row r="301">
      <c r="A301" s="25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255"/>
      <c r="M301" s="255"/>
      <c r="N301" s="255"/>
      <c r="O301" s="255"/>
      <c r="P301" s="255"/>
      <c r="Q301" s="255"/>
      <c r="R301" s="255"/>
      <c r="S301" s="255"/>
      <c r="T301" s="255"/>
      <c r="U301" s="255"/>
      <c r="V301" s="255"/>
      <c r="W301" s="255"/>
      <c r="X301" s="255"/>
      <c r="Y301" s="255"/>
      <c r="Z301" s="255"/>
      <c r="AA301" s="255"/>
      <c r="AB301" s="255"/>
      <c r="AC301" s="255"/>
      <c r="AD301" s="255"/>
      <c r="AE301" s="255"/>
      <c r="AF301" s="255"/>
    </row>
    <row r="302">
      <c r="A302" s="255"/>
      <c r="B302" s="255"/>
      <c r="C302" s="255"/>
      <c r="D302" s="255"/>
      <c r="E302" s="255"/>
      <c r="F302" s="255"/>
      <c r="G302" s="255"/>
      <c r="H302" s="255"/>
      <c r="I302" s="255"/>
      <c r="J302" s="255"/>
      <c r="K302" s="255"/>
      <c r="L302" s="255"/>
      <c r="M302" s="255"/>
      <c r="N302" s="255"/>
      <c r="O302" s="255"/>
      <c r="P302" s="255"/>
      <c r="Q302" s="255"/>
      <c r="R302" s="255"/>
      <c r="S302" s="255"/>
      <c r="T302" s="255"/>
      <c r="U302" s="255"/>
      <c r="V302" s="255"/>
      <c r="W302" s="255"/>
      <c r="X302" s="255"/>
      <c r="Y302" s="255"/>
      <c r="Z302" s="255"/>
      <c r="AA302" s="255"/>
      <c r="AB302" s="255"/>
      <c r="AC302" s="255"/>
      <c r="AD302" s="255"/>
      <c r="AE302" s="255"/>
      <c r="AF302" s="255"/>
    </row>
    <row r="303">
      <c r="A303" s="255"/>
      <c r="B303" s="255"/>
      <c r="C303" s="255"/>
      <c r="D303" s="255"/>
      <c r="E303" s="255"/>
      <c r="F303" s="255"/>
      <c r="G303" s="255"/>
      <c r="H303" s="255"/>
      <c r="I303" s="255"/>
      <c r="J303" s="255"/>
      <c r="K303" s="255"/>
      <c r="L303" s="255"/>
      <c r="M303" s="255"/>
      <c r="N303" s="255"/>
      <c r="O303" s="255"/>
      <c r="P303" s="255"/>
      <c r="Q303" s="255"/>
      <c r="R303" s="255"/>
      <c r="S303" s="255"/>
      <c r="T303" s="255"/>
      <c r="U303" s="255"/>
      <c r="V303" s="255"/>
      <c r="W303" s="255"/>
      <c r="X303" s="255"/>
      <c r="Y303" s="255"/>
      <c r="Z303" s="255"/>
      <c r="AA303" s="255"/>
      <c r="AB303" s="255"/>
      <c r="AC303" s="255"/>
      <c r="AD303" s="255"/>
      <c r="AE303" s="255"/>
      <c r="AF303" s="255"/>
    </row>
    <row r="304">
      <c r="A304" s="25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5"/>
    </row>
    <row r="305">
      <c r="A305" s="255"/>
      <c r="B305" s="255"/>
      <c r="C305" s="255"/>
      <c r="D305" s="255"/>
      <c r="E305" s="255"/>
      <c r="F305" s="255"/>
      <c r="G305" s="255"/>
      <c r="H305" s="255"/>
      <c r="I305" s="255"/>
      <c r="J305" s="255"/>
      <c r="K305" s="255"/>
      <c r="L305" s="255"/>
      <c r="M305" s="255"/>
      <c r="N305" s="255"/>
      <c r="O305" s="255"/>
      <c r="P305" s="255"/>
      <c r="Q305" s="255"/>
      <c r="R305" s="255"/>
      <c r="S305" s="255"/>
      <c r="T305" s="255"/>
      <c r="U305" s="255"/>
      <c r="V305" s="255"/>
      <c r="W305" s="255"/>
      <c r="X305" s="255"/>
      <c r="Y305" s="255"/>
      <c r="Z305" s="255"/>
      <c r="AA305" s="255"/>
      <c r="AB305" s="255"/>
      <c r="AC305" s="255"/>
      <c r="AD305" s="255"/>
      <c r="AE305" s="255"/>
      <c r="AF305" s="255"/>
    </row>
    <row r="306">
      <c r="A306" s="255"/>
      <c r="B306" s="255"/>
      <c r="C306" s="255"/>
      <c r="D306" s="255"/>
      <c r="E306" s="255"/>
      <c r="F306" s="255"/>
      <c r="G306" s="255"/>
      <c r="H306" s="255"/>
      <c r="I306" s="255"/>
      <c r="J306" s="255"/>
      <c r="K306" s="255"/>
      <c r="L306" s="255"/>
      <c r="M306" s="255"/>
      <c r="N306" s="255"/>
      <c r="O306" s="255"/>
      <c r="P306" s="255"/>
      <c r="Q306" s="255"/>
      <c r="R306" s="255"/>
      <c r="S306" s="255"/>
      <c r="T306" s="255"/>
      <c r="U306" s="255"/>
      <c r="V306" s="255"/>
      <c r="W306" s="255"/>
      <c r="X306" s="255"/>
      <c r="Y306" s="255"/>
      <c r="Z306" s="255"/>
      <c r="AA306" s="255"/>
      <c r="AB306" s="255"/>
      <c r="AC306" s="255"/>
      <c r="AD306" s="255"/>
      <c r="AE306" s="255"/>
      <c r="AF306" s="255"/>
    </row>
    <row r="307">
      <c r="A307" s="25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255"/>
      <c r="M307" s="255"/>
      <c r="N307" s="255"/>
      <c r="O307" s="255"/>
      <c r="P307" s="255"/>
      <c r="Q307" s="255"/>
      <c r="R307" s="255"/>
      <c r="S307" s="255"/>
      <c r="T307" s="255"/>
      <c r="U307" s="255"/>
      <c r="V307" s="255"/>
      <c r="W307" s="255"/>
      <c r="X307" s="255"/>
      <c r="Y307" s="255"/>
      <c r="Z307" s="255"/>
      <c r="AA307" s="255"/>
      <c r="AB307" s="255"/>
      <c r="AC307" s="255"/>
      <c r="AD307" s="255"/>
      <c r="AE307" s="255"/>
      <c r="AF307" s="255"/>
    </row>
    <row r="308">
      <c r="A308" s="255"/>
      <c r="B308" s="255"/>
      <c r="C308" s="255"/>
      <c r="D308" s="255"/>
      <c r="E308" s="255"/>
      <c r="F308" s="255"/>
      <c r="G308" s="255"/>
      <c r="H308" s="255"/>
      <c r="I308" s="255"/>
      <c r="J308" s="255"/>
      <c r="K308" s="255"/>
      <c r="L308" s="255"/>
      <c r="M308" s="255"/>
      <c r="N308" s="255"/>
      <c r="O308" s="255"/>
      <c r="P308" s="255"/>
      <c r="Q308" s="255"/>
      <c r="R308" s="255"/>
      <c r="S308" s="255"/>
      <c r="T308" s="255"/>
      <c r="U308" s="255"/>
      <c r="V308" s="255"/>
      <c r="W308" s="255"/>
      <c r="X308" s="255"/>
      <c r="Y308" s="255"/>
      <c r="Z308" s="255"/>
      <c r="AA308" s="255"/>
      <c r="AB308" s="255"/>
      <c r="AC308" s="255"/>
      <c r="AD308" s="255"/>
      <c r="AE308" s="255"/>
      <c r="AF308" s="255"/>
    </row>
    <row r="309">
      <c r="A309" s="255"/>
      <c r="B309" s="255"/>
      <c r="C309" s="255"/>
      <c r="D309" s="255"/>
      <c r="E309" s="255"/>
      <c r="F309" s="255"/>
      <c r="G309" s="255"/>
      <c r="H309" s="255"/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255"/>
      <c r="U309" s="255"/>
      <c r="V309" s="255"/>
      <c r="W309" s="255"/>
      <c r="X309" s="255"/>
      <c r="Y309" s="255"/>
      <c r="Z309" s="255"/>
      <c r="AA309" s="255"/>
      <c r="AB309" s="255"/>
      <c r="AC309" s="255"/>
      <c r="AD309" s="255"/>
      <c r="AE309" s="255"/>
      <c r="AF309" s="255"/>
    </row>
    <row r="310">
      <c r="A310" s="25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255"/>
      <c r="M310" s="255"/>
      <c r="N310" s="255"/>
      <c r="O310" s="255"/>
      <c r="P310" s="255"/>
      <c r="Q310" s="255"/>
      <c r="R310" s="255"/>
      <c r="S310" s="255"/>
      <c r="T310" s="255"/>
      <c r="U310" s="255"/>
      <c r="V310" s="255"/>
      <c r="W310" s="255"/>
      <c r="X310" s="255"/>
      <c r="Y310" s="255"/>
      <c r="Z310" s="255"/>
      <c r="AA310" s="255"/>
      <c r="AB310" s="255"/>
      <c r="AC310" s="255"/>
      <c r="AD310" s="255"/>
      <c r="AE310" s="255"/>
      <c r="AF310" s="255"/>
    </row>
    <row r="311">
      <c r="A311" s="255"/>
      <c r="B311" s="255"/>
      <c r="C311" s="255"/>
      <c r="D311" s="255"/>
      <c r="E311" s="255"/>
      <c r="F311" s="255"/>
      <c r="G311" s="255"/>
      <c r="H311" s="255"/>
      <c r="I311" s="255"/>
      <c r="J311" s="255"/>
      <c r="K311" s="255"/>
      <c r="L311" s="255"/>
      <c r="M311" s="255"/>
      <c r="N311" s="255"/>
      <c r="O311" s="255"/>
      <c r="P311" s="255"/>
      <c r="Q311" s="255"/>
      <c r="R311" s="255"/>
      <c r="S311" s="255"/>
      <c r="T311" s="255"/>
      <c r="U311" s="255"/>
      <c r="V311" s="255"/>
      <c r="W311" s="255"/>
      <c r="X311" s="255"/>
      <c r="Y311" s="255"/>
      <c r="Z311" s="255"/>
      <c r="AA311" s="255"/>
      <c r="AB311" s="255"/>
      <c r="AC311" s="255"/>
      <c r="AD311" s="255"/>
      <c r="AE311" s="255"/>
      <c r="AF311" s="255"/>
    </row>
    <row r="312">
      <c r="A312" s="255"/>
      <c r="B312" s="255"/>
      <c r="C312" s="255"/>
      <c r="D312" s="255"/>
      <c r="E312" s="255"/>
      <c r="F312" s="255"/>
      <c r="G312" s="255"/>
      <c r="H312" s="255"/>
      <c r="I312" s="255"/>
      <c r="J312" s="255"/>
      <c r="K312" s="255"/>
      <c r="L312" s="255"/>
      <c r="M312" s="255"/>
      <c r="N312" s="255"/>
      <c r="O312" s="255"/>
      <c r="P312" s="255"/>
      <c r="Q312" s="255"/>
      <c r="R312" s="255"/>
      <c r="S312" s="255"/>
      <c r="T312" s="255"/>
      <c r="U312" s="255"/>
      <c r="V312" s="255"/>
      <c r="W312" s="255"/>
      <c r="X312" s="255"/>
      <c r="Y312" s="255"/>
      <c r="Z312" s="255"/>
      <c r="AA312" s="255"/>
      <c r="AB312" s="255"/>
      <c r="AC312" s="255"/>
      <c r="AD312" s="255"/>
      <c r="AE312" s="255"/>
      <c r="AF312" s="255"/>
    </row>
    <row r="313">
      <c r="A313" s="25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255"/>
      <c r="P313" s="255"/>
      <c r="Q313" s="255"/>
      <c r="R313" s="255"/>
      <c r="S313" s="255"/>
      <c r="T313" s="255"/>
      <c r="U313" s="255"/>
      <c r="V313" s="255"/>
      <c r="W313" s="255"/>
      <c r="X313" s="255"/>
      <c r="Y313" s="255"/>
      <c r="Z313" s="255"/>
      <c r="AA313" s="255"/>
      <c r="AB313" s="255"/>
      <c r="AC313" s="255"/>
      <c r="AD313" s="255"/>
      <c r="AE313" s="255"/>
      <c r="AF313" s="255"/>
    </row>
    <row r="314">
      <c r="A314" s="255"/>
      <c r="B314" s="255"/>
      <c r="C314" s="255"/>
      <c r="D314" s="255"/>
      <c r="E314" s="255"/>
      <c r="F314" s="255"/>
      <c r="G314" s="255"/>
      <c r="H314" s="255"/>
      <c r="I314" s="255"/>
      <c r="J314" s="255"/>
      <c r="K314" s="255"/>
      <c r="L314" s="255"/>
      <c r="M314" s="255"/>
      <c r="N314" s="255"/>
      <c r="O314" s="255"/>
      <c r="P314" s="255"/>
      <c r="Q314" s="255"/>
      <c r="R314" s="255"/>
      <c r="S314" s="255"/>
      <c r="T314" s="255"/>
      <c r="U314" s="255"/>
      <c r="V314" s="255"/>
      <c r="W314" s="255"/>
      <c r="X314" s="255"/>
      <c r="Y314" s="255"/>
      <c r="Z314" s="255"/>
      <c r="AA314" s="255"/>
      <c r="AB314" s="255"/>
      <c r="AC314" s="255"/>
      <c r="AD314" s="255"/>
      <c r="AE314" s="255"/>
      <c r="AF314" s="255"/>
    </row>
    <row r="315">
      <c r="A315" s="255"/>
      <c r="B315" s="255"/>
      <c r="C315" s="255"/>
      <c r="D315" s="255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255"/>
      <c r="P315" s="255"/>
      <c r="Q315" s="255"/>
      <c r="R315" s="255"/>
      <c r="S315" s="255"/>
      <c r="T315" s="255"/>
      <c r="U315" s="255"/>
      <c r="V315" s="255"/>
      <c r="W315" s="255"/>
      <c r="X315" s="255"/>
      <c r="Y315" s="255"/>
      <c r="Z315" s="255"/>
      <c r="AA315" s="255"/>
      <c r="AB315" s="255"/>
      <c r="AC315" s="255"/>
      <c r="AD315" s="255"/>
      <c r="AE315" s="255"/>
      <c r="AF315" s="255"/>
    </row>
    <row r="316">
      <c r="A316" s="25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5"/>
    </row>
    <row r="317">
      <c r="A317" s="255"/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5"/>
    </row>
    <row r="318">
      <c r="A318" s="255"/>
      <c r="B318" s="255"/>
      <c r="C318" s="255"/>
      <c r="D318" s="255"/>
      <c r="E318" s="255"/>
      <c r="F318" s="255"/>
      <c r="G318" s="255"/>
      <c r="H318" s="255"/>
      <c r="I318" s="255"/>
      <c r="J318" s="255"/>
      <c r="K318" s="255"/>
      <c r="L318" s="255"/>
      <c r="M318" s="255"/>
      <c r="N318" s="255"/>
      <c r="O318" s="255"/>
      <c r="P318" s="255"/>
      <c r="Q318" s="255"/>
      <c r="R318" s="255"/>
      <c r="S318" s="255"/>
      <c r="T318" s="255"/>
      <c r="U318" s="255"/>
      <c r="V318" s="255"/>
      <c r="W318" s="255"/>
      <c r="X318" s="255"/>
      <c r="Y318" s="255"/>
      <c r="Z318" s="255"/>
      <c r="AA318" s="255"/>
      <c r="AB318" s="255"/>
      <c r="AC318" s="255"/>
      <c r="AD318" s="255"/>
      <c r="AE318" s="255"/>
      <c r="AF318" s="255"/>
    </row>
    <row r="319">
      <c r="A319" s="25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5"/>
      <c r="O319" s="255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5"/>
      <c r="AB319" s="255"/>
      <c r="AC319" s="255"/>
      <c r="AD319" s="255"/>
      <c r="AE319" s="255"/>
      <c r="AF319" s="255"/>
    </row>
    <row r="320">
      <c r="A320" s="255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5"/>
      <c r="O320" s="255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5"/>
      <c r="AB320" s="255"/>
      <c r="AC320" s="255"/>
      <c r="AD320" s="255"/>
      <c r="AE320" s="255"/>
      <c r="AF320" s="255"/>
    </row>
    <row r="321">
      <c r="A321" s="255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5"/>
      <c r="O321" s="255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5"/>
      <c r="AB321" s="255"/>
      <c r="AC321" s="255"/>
      <c r="AD321" s="255"/>
      <c r="AE321" s="255"/>
      <c r="AF321" s="255"/>
    </row>
    <row r="322">
      <c r="A322" s="25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255"/>
      <c r="M322" s="255"/>
      <c r="N322" s="255"/>
      <c r="O322" s="255"/>
      <c r="P322" s="255"/>
      <c r="Q322" s="255"/>
      <c r="R322" s="255"/>
      <c r="S322" s="255"/>
      <c r="T322" s="255"/>
      <c r="U322" s="255"/>
      <c r="V322" s="255"/>
      <c r="W322" s="255"/>
      <c r="X322" s="255"/>
      <c r="Y322" s="255"/>
      <c r="Z322" s="255"/>
      <c r="AA322" s="255"/>
      <c r="AB322" s="255"/>
      <c r="AC322" s="255"/>
      <c r="AD322" s="255"/>
      <c r="AE322" s="255"/>
      <c r="AF322" s="255"/>
    </row>
    <row r="323">
      <c r="A323" s="255"/>
      <c r="B323" s="255"/>
      <c r="C323" s="255"/>
      <c r="D323" s="255"/>
      <c r="E323" s="255"/>
      <c r="F323" s="255"/>
      <c r="G323" s="255"/>
      <c r="H323" s="255"/>
      <c r="I323" s="255"/>
      <c r="J323" s="255"/>
      <c r="K323" s="255"/>
      <c r="L323" s="255"/>
      <c r="M323" s="255"/>
      <c r="N323" s="255"/>
      <c r="O323" s="255"/>
      <c r="P323" s="255"/>
      <c r="Q323" s="255"/>
      <c r="R323" s="255"/>
      <c r="S323" s="255"/>
      <c r="T323" s="255"/>
      <c r="U323" s="255"/>
      <c r="V323" s="255"/>
      <c r="W323" s="255"/>
      <c r="X323" s="255"/>
      <c r="Y323" s="255"/>
      <c r="Z323" s="255"/>
      <c r="AA323" s="255"/>
      <c r="AB323" s="255"/>
      <c r="AC323" s="255"/>
      <c r="AD323" s="255"/>
      <c r="AE323" s="255"/>
      <c r="AF323" s="255"/>
    </row>
    <row r="324">
      <c r="A324" s="255"/>
      <c r="B324" s="255"/>
      <c r="C324" s="255"/>
      <c r="D324" s="255"/>
      <c r="E324" s="255"/>
      <c r="F324" s="255"/>
      <c r="G324" s="255"/>
      <c r="H324" s="255"/>
      <c r="I324" s="255"/>
      <c r="J324" s="255"/>
      <c r="K324" s="255"/>
      <c r="L324" s="255"/>
      <c r="M324" s="255"/>
      <c r="N324" s="255"/>
      <c r="O324" s="255"/>
      <c r="P324" s="255"/>
      <c r="Q324" s="255"/>
      <c r="R324" s="255"/>
      <c r="S324" s="255"/>
      <c r="T324" s="255"/>
      <c r="U324" s="255"/>
      <c r="V324" s="255"/>
      <c r="W324" s="255"/>
      <c r="X324" s="255"/>
      <c r="Y324" s="255"/>
      <c r="Z324" s="255"/>
      <c r="AA324" s="255"/>
      <c r="AB324" s="255"/>
      <c r="AC324" s="255"/>
      <c r="AD324" s="255"/>
      <c r="AE324" s="255"/>
      <c r="AF324" s="255"/>
    </row>
    <row r="325">
      <c r="A325" s="25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255"/>
      <c r="M325" s="255"/>
      <c r="N325" s="255"/>
      <c r="O325" s="255"/>
      <c r="P325" s="255"/>
      <c r="Q325" s="255"/>
      <c r="R325" s="255"/>
      <c r="S325" s="255"/>
      <c r="T325" s="255"/>
      <c r="U325" s="255"/>
      <c r="V325" s="255"/>
      <c r="W325" s="255"/>
      <c r="X325" s="255"/>
      <c r="Y325" s="255"/>
      <c r="Z325" s="255"/>
      <c r="AA325" s="255"/>
      <c r="AB325" s="255"/>
      <c r="AC325" s="255"/>
      <c r="AD325" s="255"/>
      <c r="AE325" s="255"/>
      <c r="AF325" s="255"/>
    </row>
    <row r="326">
      <c r="A326" s="255"/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</row>
    <row r="327">
      <c r="A327" s="255"/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</row>
    <row r="328">
      <c r="A328" s="25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</row>
    <row r="329">
      <c r="A329" s="25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</row>
    <row r="330">
      <c r="A330" s="255"/>
      <c r="B330" s="255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5"/>
      <c r="U330" s="255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</row>
    <row r="331">
      <c r="A331" s="255"/>
      <c r="B331" s="255"/>
      <c r="C331" s="255"/>
      <c r="D331" s="255"/>
      <c r="E331" s="255"/>
      <c r="F331" s="255"/>
      <c r="G331" s="255"/>
      <c r="H331" s="255"/>
      <c r="I331" s="255"/>
      <c r="J331" s="255"/>
      <c r="K331" s="255"/>
      <c r="L331" s="255"/>
      <c r="M331" s="255"/>
      <c r="N331" s="255"/>
      <c r="O331" s="255"/>
      <c r="P331" s="255"/>
      <c r="Q331" s="255"/>
      <c r="R331" s="255"/>
      <c r="S331" s="255"/>
      <c r="T331" s="255"/>
      <c r="U331" s="255"/>
      <c r="V331" s="255"/>
      <c r="W331" s="255"/>
      <c r="X331" s="255"/>
      <c r="Y331" s="255"/>
      <c r="Z331" s="255"/>
      <c r="AA331" s="255"/>
      <c r="AB331" s="255"/>
      <c r="AC331" s="255"/>
      <c r="AD331" s="255"/>
      <c r="AE331" s="255"/>
      <c r="AF331" s="255"/>
    </row>
    <row r="332">
      <c r="A332" s="25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255"/>
      <c r="M332" s="255"/>
      <c r="N332" s="255"/>
      <c r="O332" s="255"/>
      <c r="P332" s="255"/>
      <c r="Q332" s="255"/>
      <c r="R332" s="255"/>
      <c r="S332" s="255"/>
      <c r="T332" s="255"/>
      <c r="U332" s="255"/>
      <c r="V332" s="255"/>
      <c r="W332" s="255"/>
      <c r="X332" s="255"/>
      <c r="Y332" s="255"/>
      <c r="Z332" s="255"/>
      <c r="AA332" s="255"/>
      <c r="AB332" s="255"/>
      <c r="AC332" s="255"/>
      <c r="AD332" s="255"/>
      <c r="AE332" s="255"/>
      <c r="AF332" s="255"/>
    </row>
    <row r="333">
      <c r="A333" s="255"/>
      <c r="B333" s="255"/>
      <c r="C333" s="255"/>
      <c r="D333" s="255"/>
      <c r="E333" s="255"/>
      <c r="F333" s="255"/>
      <c r="G333" s="255"/>
      <c r="H333" s="255"/>
      <c r="I333" s="255"/>
      <c r="J333" s="255"/>
      <c r="K333" s="255"/>
      <c r="L333" s="255"/>
      <c r="M333" s="255"/>
      <c r="N333" s="255"/>
      <c r="O333" s="255"/>
      <c r="P333" s="255"/>
      <c r="Q333" s="255"/>
      <c r="R333" s="255"/>
      <c r="S333" s="255"/>
      <c r="T333" s="255"/>
      <c r="U333" s="255"/>
      <c r="V333" s="255"/>
      <c r="W333" s="255"/>
      <c r="X333" s="255"/>
      <c r="Y333" s="255"/>
      <c r="Z333" s="255"/>
      <c r="AA333" s="255"/>
      <c r="AB333" s="255"/>
      <c r="AC333" s="255"/>
      <c r="AD333" s="255"/>
      <c r="AE333" s="255"/>
      <c r="AF333" s="255"/>
    </row>
    <row r="334">
      <c r="A334" s="255"/>
      <c r="B334" s="255"/>
      <c r="C334" s="255"/>
      <c r="D334" s="255"/>
      <c r="E334" s="255"/>
      <c r="F334" s="255"/>
      <c r="G334" s="255"/>
      <c r="H334" s="255"/>
      <c r="I334" s="255"/>
      <c r="J334" s="255"/>
      <c r="K334" s="255"/>
      <c r="L334" s="255"/>
      <c r="M334" s="255"/>
      <c r="N334" s="255"/>
      <c r="O334" s="255"/>
      <c r="P334" s="255"/>
      <c r="Q334" s="255"/>
      <c r="R334" s="255"/>
      <c r="S334" s="255"/>
      <c r="T334" s="255"/>
      <c r="U334" s="255"/>
      <c r="V334" s="255"/>
      <c r="W334" s="255"/>
      <c r="X334" s="255"/>
      <c r="Y334" s="255"/>
      <c r="Z334" s="255"/>
      <c r="AA334" s="255"/>
      <c r="AB334" s="255"/>
      <c r="AC334" s="255"/>
      <c r="AD334" s="255"/>
      <c r="AE334" s="255"/>
      <c r="AF334" s="255"/>
    </row>
    <row r="335">
      <c r="A335" s="25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255"/>
      <c r="M335" s="255"/>
      <c r="N335" s="255"/>
      <c r="O335" s="255"/>
      <c r="P335" s="255"/>
      <c r="Q335" s="255"/>
      <c r="R335" s="255"/>
      <c r="S335" s="255"/>
      <c r="T335" s="255"/>
      <c r="U335" s="255"/>
      <c r="V335" s="255"/>
      <c r="W335" s="255"/>
      <c r="X335" s="255"/>
      <c r="Y335" s="255"/>
      <c r="Z335" s="255"/>
      <c r="AA335" s="255"/>
      <c r="AB335" s="255"/>
      <c r="AC335" s="255"/>
      <c r="AD335" s="255"/>
      <c r="AE335" s="255"/>
      <c r="AF335" s="255"/>
    </row>
    <row r="336">
      <c r="A336" s="255"/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5"/>
      <c r="AE336" s="255"/>
      <c r="AF336" s="255"/>
    </row>
    <row r="337">
      <c r="A337" s="255"/>
      <c r="B337" s="255"/>
      <c r="C337" s="255"/>
      <c r="D337" s="255"/>
      <c r="E337" s="255"/>
      <c r="F337" s="255"/>
      <c r="G337" s="255"/>
      <c r="H337" s="255"/>
      <c r="I337" s="255"/>
      <c r="J337" s="255"/>
      <c r="K337" s="255"/>
      <c r="L337" s="255"/>
      <c r="M337" s="255"/>
      <c r="N337" s="255"/>
      <c r="O337" s="255"/>
      <c r="P337" s="255"/>
      <c r="Q337" s="255"/>
      <c r="R337" s="255"/>
      <c r="S337" s="255"/>
      <c r="T337" s="255"/>
      <c r="U337" s="255"/>
      <c r="V337" s="255"/>
      <c r="W337" s="255"/>
      <c r="X337" s="255"/>
      <c r="Y337" s="255"/>
      <c r="Z337" s="255"/>
      <c r="AA337" s="255"/>
      <c r="AB337" s="255"/>
      <c r="AC337" s="255"/>
      <c r="AD337" s="255"/>
      <c r="AE337" s="255"/>
      <c r="AF337" s="255"/>
    </row>
    <row r="338">
      <c r="A338" s="25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55"/>
      <c r="O338" s="255"/>
      <c r="P338" s="255"/>
      <c r="Q338" s="255"/>
      <c r="R338" s="255"/>
      <c r="S338" s="255"/>
      <c r="T338" s="255"/>
      <c r="U338" s="255"/>
      <c r="V338" s="255"/>
      <c r="W338" s="255"/>
      <c r="X338" s="255"/>
      <c r="Y338" s="255"/>
      <c r="Z338" s="255"/>
      <c r="AA338" s="255"/>
      <c r="AB338" s="255"/>
      <c r="AC338" s="255"/>
      <c r="AD338" s="255"/>
      <c r="AE338" s="255"/>
      <c r="AF338" s="255"/>
    </row>
    <row r="339">
      <c r="A339" s="255"/>
      <c r="B339" s="255"/>
      <c r="C339" s="255"/>
      <c r="D339" s="255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255"/>
      <c r="P339" s="255"/>
      <c r="Q339" s="255"/>
      <c r="R339" s="255"/>
      <c r="S339" s="255"/>
      <c r="T339" s="255"/>
      <c r="U339" s="255"/>
      <c r="V339" s="255"/>
      <c r="W339" s="255"/>
      <c r="X339" s="255"/>
      <c r="Y339" s="255"/>
      <c r="Z339" s="255"/>
      <c r="AA339" s="255"/>
      <c r="AB339" s="255"/>
      <c r="AC339" s="255"/>
      <c r="AD339" s="255"/>
      <c r="AE339" s="255"/>
      <c r="AF339" s="255"/>
    </row>
    <row r="340">
      <c r="A340" s="255"/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5"/>
    </row>
    <row r="341">
      <c r="A341" s="25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255"/>
      <c r="P341" s="255"/>
      <c r="Q341" s="255"/>
      <c r="R341" s="255"/>
      <c r="S341" s="255"/>
      <c r="T341" s="255"/>
      <c r="U341" s="255"/>
      <c r="V341" s="255"/>
      <c r="W341" s="255"/>
      <c r="X341" s="255"/>
      <c r="Y341" s="255"/>
      <c r="Z341" s="255"/>
      <c r="AA341" s="255"/>
      <c r="AB341" s="255"/>
      <c r="AC341" s="255"/>
      <c r="AD341" s="255"/>
      <c r="AE341" s="255"/>
      <c r="AF341" s="255"/>
    </row>
    <row r="342">
      <c r="A342" s="255"/>
      <c r="B342" s="255"/>
      <c r="C342" s="255"/>
      <c r="D342" s="255"/>
      <c r="E342" s="255"/>
      <c r="F342" s="255"/>
      <c r="G342" s="255"/>
      <c r="H342" s="255"/>
      <c r="I342" s="255"/>
      <c r="J342" s="255"/>
      <c r="K342" s="255"/>
      <c r="L342" s="255"/>
      <c r="M342" s="255"/>
      <c r="N342" s="255"/>
      <c r="O342" s="255"/>
      <c r="P342" s="255"/>
      <c r="Q342" s="255"/>
      <c r="R342" s="255"/>
      <c r="S342" s="255"/>
      <c r="T342" s="255"/>
      <c r="U342" s="255"/>
      <c r="V342" s="255"/>
      <c r="W342" s="255"/>
      <c r="X342" s="255"/>
      <c r="Y342" s="255"/>
      <c r="Z342" s="255"/>
      <c r="AA342" s="255"/>
      <c r="AB342" s="255"/>
      <c r="AC342" s="255"/>
      <c r="AD342" s="255"/>
      <c r="AE342" s="255"/>
      <c r="AF342" s="255"/>
    </row>
    <row r="343">
      <c r="A343" s="255"/>
      <c r="B343" s="255"/>
      <c r="C343" s="255"/>
      <c r="D343" s="255"/>
      <c r="E343" s="255"/>
      <c r="F343" s="255"/>
      <c r="G343" s="255"/>
      <c r="H343" s="255"/>
      <c r="I343" s="255"/>
      <c r="J343" s="255"/>
      <c r="K343" s="255"/>
      <c r="L343" s="255"/>
      <c r="M343" s="255"/>
      <c r="N343" s="255"/>
      <c r="O343" s="255"/>
      <c r="P343" s="255"/>
      <c r="Q343" s="255"/>
      <c r="R343" s="255"/>
      <c r="S343" s="255"/>
      <c r="T343" s="255"/>
      <c r="U343" s="255"/>
      <c r="V343" s="255"/>
      <c r="W343" s="255"/>
      <c r="X343" s="255"/>
      <c r="Y343" s="255"/>
      <c r="Z343" s="255"/>
      <c r="AA343" s="255"/>
      <c r="AB343" s="255"/>
      <c r="AC343" s="255"/>
      <c r="AD343" s="255"/>
      <c r="AE343" s="255"/>
      <c r="AF343" s="255"/>
    </row>
    <row r="344">
      <c r="A344" s="25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255"/>
      <c r="M344" s="255"/>
      <c r="N344" s="255"/>
      <c r="O344" s="255"/>
      <c r="P344" s="255"/>
      <c r="Q344" s="255"/>
      <c r="R344" s="255"/>
      <c r="S344" s="255"/>
      <c r="T344" s="255"/>
      <c r="U344" s="255"/>
      <c r="V344" s="255"/>
      <c r="W344" s="255"/>
      <c r="X344" s="255"/>
      <c r="Y344" s="255"/>
      <c r="Z344" s="255"/>
      <c r="AA344" s="255"/>
      <c r="AB344" s="255"/>
      <c r="AC344" s="255"/>
      <c r="AD344" s="255"/>
      <c r="AE344" s="255"/>
      <c r="AF344" s="255"/>
    </row>
    <row r="345">
      <c r="A345" s="25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255"/>
      <c r="M345" s="255"/>
      <c r="N345" s="255"/>
      <c r="O345" s="25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5"/>
      <c r="Z345" s="255"/>
      <c r="AA345" s="255"/>
      <c r="AB345" s="255"/>
      <c r="AC345" s="255"/>
      <c r="AD345" s="255"/>
      <c r="AE345" s="255"/>
      <c r="AF345" s="255"/>
    </row>
    <row r="346">
      <c r="A346" s="255"/>
      <c r="B346" s="255"/>
      <c r="C346" s="255"/>
      <c r="D346" s="255"/>
      <c r="E346" s="255"/>
      <c r="F346" s="255"/>
      <c r="G346" s="255"/>
      <c r="H346" s="255"/>
      <c r="I346" s="255"/>
      <c r="J346" s="255"/>
      <c r="K346" s="255"/>
      <c r="L346" s="255"/>
      <c r="M346" s="255"/>
      <c r="N346" s="255"/>
      <c r="O346" s="255"/>
      <c r="P346" s="255"/>
      <c r="Q346" s="255"/>
      <c r="R346" s="255"/>
      <c r="S346" s="255"/>
      <c r="T346" s="255"/>
      <c r="U346" s="255"/>
      <c r="V346" s="255"/>
      <c r="W346" s="255"/>
      <c r="X346" s="255"/>
      <c r="Y346" s="255"/>
      <c r="Z346" s="255"/>
      <c r="AA346" s="255"/>
      <c r="AB346" s="255"/>
      <c r="AC346" s="255"/>
      <c r="AD346" s="255"/>
      <c r="AE346" s="255"/>
      <c r="AF346" s="255"/>
    </row>
    <row r="347">
      <c r="A347" s="255"/>
      <c r="B347" s="255"/>
      <c r="C347" s="255"/>
      <c r="D347" s="255"/>
      <c r="E347" s="255"/>
      <c r="F347" s="255"/>
      <c r="G347" s="255"/>
      <c r="H347" s="255"/>
      <c r="I347" s="255"/>
      <c r="J347" s="255"/>
      <c r="K347" s="255"/>
      <c r="L347" s="255"/>
      <c r="M347" s="255"/>
      <c r="N347" s="255"/>
      <c r="O347" s="255"/>
      <c r="P347" s="255"/>
      <c r="Q347" s="255"/>
      <c r="R347" s="255"/>
      <c r="S347" s="255"/>
      <c r="T347" s="255"/>
      <c r="U347" s="255"/>
      <c r="V347" s="255"/>
      <c r="W347" s="255"/>
      <c r="X347" s="255"/>
      <c r="Y347" s="255"/>
      <c r="Z347" s="255"/>
      <c r="AA347" s="255"/>
      <c r="AB347" s="255"/>
      <c r="AC347" s="255"/>
      <c r="AD347" s="255"/>
      <c r="AE347" s="255"/>
      <c r="AF347" s="255"/>
    </row>
    <row r="348">
      <c r="A348" s="255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255"/>
      <c r="M348" s="255"/>
      <c r="N348" s="255"/>
      <c r="O348" s="255"/>
      <c r="P348" s="255"/>
      <c r="Q348" s="255"/>
      <c r="R348" s="255"/>
      <c r="S348" s="255"/>
      <c r="T348" s="255"/>
      <c r="U348" s="255"/>
      <c r="V348" s="255"/>
      <c r="W348" s="255"/>
      <c r="X348" s="255"/>
      <c r="Y348" s="255"/>
      <c r="Z348" s="255"/>
      <c r="AA348" s="255"/>
      <c r="AB348" s="255"/>
      <c r="AC348" s="255"/>
      <c r="AD348" s="255"/>
      <c r="AE348" s="255"/>
      <c r="AF348" s="255"/>
    </row>
    <row r="349">
      <c r="A349" s="255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255"/>
      <c r="M349" s="255"/>
      <c r="N349" s="255"/>
      <c r="O349" s="25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5"/>
      <c r="Z349" s="255"/>
      <c r="AA349" s="255"/>
      <c r="AB349" s="255"/>
      <c r="AC349" s="255"/>
      <c r="AD349" s="255"/>
      <c r="AE349" s="255"/>
      <c r="AF349" s="255"/>
    </row>
    <row r="350">
      <c r="A350" s="255"/>
      <c r="B350" s="255"/>
      <c r="C350" s="255"/>
      <c r="D350" s="255"/>
      <c r="E350" s="255"/>
      <c r="F350" s="255"/>
      <c r="G350" s="255"/>
      <c r="H350" s="255"/>
      <c r="I350" s="255"/>
      <c r="J350" s="255"/>
      <c r="K350" s="255"/>
      <c r="L350" s="255"/>
      <c r="M350" s="255"/>
      <c r="N350" s="255"/>
      <c r="O350" s="255"/>
      <c r="P350" s="255"/>
      <c r="Q350" s="255"/>
      <c r="R350" s="255"/>
      <c r="S350" s="255"/>
      <c r="T350" s="255"/>
      <c r="U350" s="255"/>
      <c r="V350" s="255"/>
      <c r="W350" s="255"/>
      <c r="X350" s="255"/>
      <c r="Y350" s="255"/>
      <c r="Z350" s="255"/>
      <c r="AA350" s="255"/>
      <c r="AB350" s="255"/>
      <c r="AC350" s="255"/>
      <c r="AD350" s="255"/>
      <c r="AE350" s="255"/>
      <c r="AF350" s="255"/>
    </row>
    <row r="351">
      <c r="A351" s="255"/>
      <c r="B351" s="255"/>
      <c r="C351" s="255"/>
      <c r="D351" s="255"/>
      <c r="E351" s="255"/>
      <c r="F351" s="255"/>
      <c r="G351" s="255"/>
      <c r="H351" s="255"/>
      <c r="I351" s="255"/>
      <c r="J351" s="255"/>
      <c r="K351" s="255"/>
      <c r="L351" s="255"/>
      <c r="M351" s="255"/>
      <c r="N351" s="255"/>
      <c r="O351" s="255"/>
      <c r="P351" s="255"/>
      <c r="Q351" s="255"/>
      <c r="R351" s="255"/>
      <c r="S351" s="255"/>
      <c r="T351" s="255"/>
      <c r="U351" s="255"/>
      <c r="V351" s="255"/>
      <c r="W351" s="255"/>
      <c r="X351" s="255"/>
      <c r="Y351" s="255"/>
      <c r="Z351" s="255"/>
      <c r="AA351" s="255"/>
      <c r="AB351" s="255"/>
      <c r="AC351" s="255"/>
      <c r="AD351" s="255"/>
      <c r="AE351" s="255"/>
      <c r="AF351" s="255"/>
    </row>
    <row r="352">
      <c r="A352" s="25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255"/>
      <c r="M352" s="255"/>
      <c r="N352" s="255"/>
      <c r="O352" s="255"/>
      <c r="P352" s="255"/>
      <c r="Q352" s="255"/>
      <c r="R352" s="255"/>
      <c r="S352" s="255"/>
      <c r="T352" s="255"/>
      <c r="U352" s="255"/>
      <c r="V352" s="255"/>
      <c r="W352" s="255"/>
      <c r="X352" s="255"/>
      <c r="Y352" s="255"/>
      <c r="Z352" s="255"/>
      <c r="AA352" s="255"/>
      <c r="AB352" s="255"/>
      <c r="AC352" s="255"/>
      <c r="AD352" s="255"/>
      <c r="AE352" s="255"/>
      <c r="AF352" s="255"/>
    </row>
    <row r="353">
      <c r="A353" s="25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255"/>
      <c r="M353" s="255"/>
      <c r="N353" s="255"/>
      <c r="O353" s="25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5"/>
      <c r="Z353" s="255"/>
      <c r="AA353" s="255"/>
      <c r="AB353" s="255"/>
      <c r="AC353" s="255"/>
      <c r="AD353" s="255"/>
      <c r="AE353" s="255"/>
      <c r="AF353" s="255"/>
    </row>
    <row r="354">
      <c r="A354" s="255"/>
      <c r="B354" s="255"/>
      <c r="C354" s="255"/>
      <c r="D354" s="255"/>
      <c r="E354" s="255"/>
      <c r="F354" s="255"/>
      <c r="G354" s="255"/>
      <c r="H354" s="255"/>
      <c r="I354" s="255"/>
      <c r="J354" s="255"/>
      <c r="K354" s="255"/>
      <c r="L354" s="255"/>
      <c r="M354" s="255"/>
      <c r="N354" s="255"/>
      <c r="O354" s="255"/>
      <c r="P354" s="255"/>
      <c r="Q354" s="255"/>
      <c r="R354" s="255"/>
      <c r="S354" s="255"/>
      <c r="T354" s="255"/>
      <c r="U354" s="255"/>
      <c r="V354" s="255"/>
      <c r="W354" s="255"/>
      <c r="X354" s="255"/>
      <c r="Y354" s="255"/>
      <c r="Z354" s="255"/>
      <c r="AA354" s="255"/>
      <c r="AB354" s="255"/>
      <c r="AC354" s="255"/>
      <c r="AD354" s="255"/>
      <c r="AE354" s="255"/>
      <c r="AF354" s="255"/>
    </row>
    <row r="355">
      <c r="A355" s="255"/>
      <c r="B355" s="255"/>
      <c r="C355" s="255"/>
      <c r="D355" s="255"/>
      <c r="E355" s="255"/>
      <c r="F355" s="255"/>
      <c r="G355" s="255"/>
      <c r="H355" s="255"/>
      <c r="I355" s="255"/>
      <c r="J355" s="255"/>
      <c r="K355" s="255"/>
      <c r="L355" s="255"/>
      <c r="M355" s="255"/>
      <c r="N355" s="255"/>
      <c r="O355" s="255"/>
      <c r="P355" s="255"/>
      <c r="Q355" s="255"/>
      <c r="R355" s="255"/>
      <c r="S355" s="255"/>
      <c r="T355" s="255"/>
      <c r="U355" s="255"/>
      <c r="V355" s="255"/>
      <c r="W355" s="255"/>
      <c r="X355" s="255"/>
      <c r="Y355" s="255"/>
      <c r="Z355" s="255"/>
      <c r="AA355" s="255"/>
      <c r="AB355" s="255"/>
      <c r="AC355" s="255"/>
      <c r="AD355" s="255"/>
      <c r="AE355" s="255"/>
      <c r="AF355" s="255"/>
    </row>
    <row r="356">
      <c r="A356" s="25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255"/>
      <c r="P356" s="255"/>
      <c r="Q356" s="255"/>
      <c r="R356" s="255"/>
      <c r="S356" s="255"/>
      <c r="T356" s="255"/>
      <c r="U356" s="255"/>
      <c r="V356" s="255"/>
      <c r="W356" s="255"/>
      <c r="X356" s="255"/>
      <c r="Y356" s="255"/>
      <c r="Z356" s="255"/>
      <c r="AA356" s="255"/>
      <c r="AB356" s="255"/>
      <c r="AC356" s="255"/>
      <c r="AD356" s="255"/>
      <c r="AE356" s="255"/>
      <c r="AF356" s="255"/>
    </row>
    <row r="357">
      <c r="A357" s="25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255"/>
      <c r="M357" s="255"/>
      <c r="N357" s="255"/>
      <c r="O357" s="255"/>
      <c r="P357" s="255"/>
      <c r="Q357" s="255"/>
      <c r="R357" s="255"/>
      <c r="S357" s="255"/>
      <c r="T357" s="255"/>
      <c r="U357" s="255"/>
      <c r="V357" s="255"/>
      <c r="W357" s="255"/>
      <c r="X357" s="255"/>
      <c r="Y357" s="255"/>
      <c r="Z357" s="255"/>
      <c r="AA357" s="255"/>
      <c r="AB357" s="255"/>
      <c r="AC357" s="255"/>
      <c r="AD357" s="255"/>
      <c r="AE357" s="255"/>
      <c r="AF357" s="255"/>
    </row>
    <row r="358">
      <c r="A358" s="255"/>
      <c r="B358" s="255"/>
      <c r="C358" s="255"/>
      <c r="D358" s="255"/>
      <c r="E358" s="255"/>
      <c r="F358" s="255"/>
      <c r="G358" s="255"/>
      <c r="H358" s="255"/>
      <c r="I358" s="255"/>
      <c r="J358" s="255"/>
      <c r="K358" s="255"/>
      <c r="L358" s="255"/>
      <c r="M358" s="255"/>
      <c r="N358" s="255"/>
      <c r="O358" s="255"/>
      <c r="P358" s="255"/>
      <c r="Q358" s="255"/>
      <c r="R358" s="255"/>
      <c r="S358" s="255"/>
      <c r="T358" s="255"/>
      <c r="U358" s="255"/>
      <c r="V358" s="255"/>
      <c r="W358" s="255"/>
      <c r="X358" s="255"/>
      <c r="Y358" s="255"/>
      <c r="Z358" s="255"/>
      <c r="AA358" s="255"/>
      <c r="AB358" s="255"/>
      <c r="AC358" s="255"/>
      <c r="AD358" s="255"/>
      <c r="AE358" s="255"/>
      <c r="AF358" s="255"/>
    </row>
    <row r="359">
      <c r="A359" s="255"/>
      <c r="B359" s="255"/>
      <c r="C359" s="255"/>
      <c r="D359" s="255"/>
      <c r="E359" s="255"/>
      <c r="F359" s="255"/>
      <c r="G359" s="255"/>
      <c r="H359" s="255"/>
      <c r="I359" s="255"/>
      <c r="J359" s="255"/>
      <c r="K359" s="255"/>
      <c r="L359" s="255"/>
      <c r="M359" s="255"/>
      <c r="N359" s="255"/>
      <c r="O359" s="255"/>
      <c r="P359" s="255"/>
      <c r="Q359" s="255"/>
      <c r="R359" s="255"/>
      <c r="S359" s="255"/>
      <c r="T359" s="255"/>
      <c r="U359" s="255"/>
      <c r="V359" s="255"/>
      <c r="W359" s="255"/>
      <c r="X359" s="255"/>
      <c r="Y359" s="255"/>
      <c r="Z359" s="255"/>
      <c r="AA359" s="255"/>
      <c r="AB359" s="255"/>
      <c r="AC359" s="255"/>
      <c r="AD359" s="255"/>
      <c r="AE359" s="255"/>
      <c r="AF359" s="255"/>
    </row>
    <row r="360">
      <c r="A360" s="25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255"/>
      <c r="M360" s="255"/>
      <c r="N360" s="255"/>
      <c r="O360" s="255"/>
      <c r="P360" s="255"/>
      <c r="Q360" s="255"/>
      <c r="R360" s="255"/>
      <c r="S360" s="255"/>
      <c r="T360" s="255"/>
      <c r="U360" s="255"/>
      <c r="V360" s="255"/>
      <c r="W360" s="255"/>
      <c r="X360" s="255"/>
      <c r="Y360" s="255"/>
      <c r="Z360" s="255"/>
      <c r="AA360" s="255"/>
      <c r="AB360" s="255"/>
      <c r="AC360" s="255"/>
      <c r="AD360" s="255"/>
      <c r="AE360" s="255"/>
      <c r="AF360" s="255"/>
    </row>
    <row r="361">
      <c r="A361" s="25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255"/>
      <c r="M361" s="255"/>
      <c r="N361" s="255"/>
      <c r="O361" s="255"/>
      <c r="P361" s="255"/>
      <c r="Q361" s="255"/>
      <c r="R361" s="255"/>
      <c r="S361" s="255"/>
      <c r="T361" s="255"/>
      <c r="U361" s="255"/>
      <c r="V361" s="255"/>
      <c r="W361" s="255"/>
      <c r="X361" s="255"/>
      <c r="Y361" s="255"/>
      <c r="Z361" s="255"/>
      <c r="AA361" s="255"/>
      <c r="AB361" s="255"/>
      <c r="AC361" s="255"/>
      <c r="AD361" s="255"/>
      <c r="AE361" s="255"/>
      <c r="AF361" s="255"/>
    </row>
    <row r="362">
      <c r="A362" s="255"/>
      <c r="B362" s="255"/>
      <c r="C362" s="255"/>
      <c r="D362" s="255"/>
      <c r="E362" s="255"/>
      <c r="F362" s="255"/>
      <c r="G362" s="255"/>
      <c r="H362" s="255"/>
      <c r="I362" s="255"/>
      <c r="J362" s="255"/>
      <c r="K362" s="255"/>
      <c r="L362" s="255"/>
      <c r="M362" s="255"/>
      <c r="N362" s="255"/>
      <c r="O362" s="255"/>
      <c r="P362" s="255"/>
      <c r="Q362" s="255"/>
      <c r="R362" s="255"/>
      <c r="S362" s="255"/>
      <c r="T362" s="255"/>
      <c r="U362" s="255"/>
      <c r="V362" s="255"/>
      <c r="W362" s="255"/>
      <c r="X362" s="255"/>
      <c r="Y362" s="255"/>
      <c r="Z362" s="255"/>
      <c r="AA362" s="255"/>
      <c r="AB362" s="255"/>
      <c r="AC362" s="255"/>
      <c r="AD362" s="255"/>
      <c r="AE362" s="255"/>
      <c r="AF362" s="255"/>
    </row>
    <row r="363">
      <c r="A363" s="255"/>
      <c r="B363" s="255"/>
      <c r="C363" s="255"/>
      <c r="D363" s="255"/>
      <c r="E363" s="255"/>
      <c r="F363" s="255"/>
      <c r="G363" s="255"/>
      <c r="H363" s="255"/>
      <c r="I363" s="255"/>
      <c r="J363" s="255"/>
      <c r="K363" s="255"/>
      <c r="L363" s="255"/>
      <c r="M363" s="255"/>
      <c r="N363" s="255"/>
      <c r="O363" s="255"/>
      <c r="P363" s="255"/>
      <c r="Q363" s="255"/>
      <c r="R363" s="255"/>
      <c r="S363" s="255"/>
      <c r="T363" s="255"/>
      <c r="U363" s="255"/>
      <c r="V363" s="255"/>
      <c r="W363" s="255"/>
      <c r="X363" s="255"/>
      <c r="Y363" s="255"/>
      <c r="Z363" s="255"/>
      <c r="AA363" s="255"/>
      <c r="AB363" s="255"/>
      <c r="AC363" s="255"/>
      <c r="AD363" s="255"/>
      <c r="AE363" s="255"/>
      <c r="AF363" s="255"/>
    </row>
    <row r="364">
      <c r="A364" s="25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255"/>
      <c r="M364" s="255"/>
      <c r="N364" s="255"/>
      <c r="O364" s="255"/>
      <c r="P364" s="255"/>
      <c r="Q364" s="255"/>
      <c r="R364" s="255"/>
      <c r="S364" s="255"/>
      <c r="T364" s="255"/>
      <c r="U364" s="255"/>
      <c r="V364" s="255"/>
      <c r="W364" s="255"/>
      <c r="X364" s="255"/>
      <c r="Y364" s="255"/>
      <c r="Z364" s="255"/>
      <c r="AA364" s="255"/>
      <c r="AB364" s="255"/>
      <c r="AC364" s="255"/>
      <c r="AD364" s="255"/>
      <c r="AE364" s="255"/>
      <c r="AF364" s="255"/>
    </row>
    <row r="365">
      <c r="A365" s="25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255"/>
      <c r="M365" s="255"/>
      <c r="N365" s="255"/>
      <c r="O365" s="255"/>
      <c r="P365" s="255"/>
      <c r="Q365" s="255"/>
      <c r="R365" s="255"/>
      <c r="S365" s="255"/>
      <c r="T365" s="255"/>
      <c r="U365" s="255"/>
      <c r="V365" s="255"/>
      <c r="W365" s="255"/>
      <c r="X365" s="255"/>
      <c r="Y365" s="255"/>
      <c r="Z365" s="255"/>
      <c r="AA365" s="255"/>
      <c r="AB365" s="255"/>
      <c r="AC365" s="255"/>
      <c r="AD365" s="255"/>
      <c r="AE365" s="255"/>
      <c r="AF365" s="255"/>
    </row>
    <row r="366">
      <c r="A366" s="255"/>
      <c r="B366" s="255"/>
      <c r="C366" s="255"/>
      <c r="D366" s="255"/>
      <c r="E366" s="255"/>
      <c r="F366" s="255"/>
      <c r="G366" s="255"/>
      <c r="H366" s="255"/>
      <c r="I366" s="255"/>
      <c r="J366" s="255"/>
      <c r="K366" s="255"/>
      <c r="L366" s="255"/>
      <c r="M366" s="255"/>
      <c r="N366" s="255"/>
      <c r="O366" s="255"/>
      <c r="P366" s="255"/>
      <c r="Q366" s="255"/>
      <c r="R366" s="255"/>
      <c r="S366" s="255"/>
      <c r="T366" s="255"/>
      <c r="U366" s="255"/>
      <c r="V366" s="255"/>
      <c r="W366" s="255"/>
      <c r="X366" s="255"/>
      <c r="Y366" s="255"/>
      <c r="Z366" s="255"/>
      <c r="AA366" s="255"/>
      <c r="AB366" s="255"/>
      <c r="AC366" s="255"/>
      <c r="AD366" s="255"/>
      <c r="AE366" s="255"/>
      <c r="AF366" s="255"/>
    </row>
    <row r="367">
      <c r="A367" s="255"/>
      <c r="B367" s="255"/>
      <c r="C367" s="255"/>
      <c r="D367" s="255"/>
      <c r="E367" s="255"/>
      <c r="F367" s="255"/>
      <c r="G367" s="255"/>
      <c r="H367" s="255"/>
      <c r="I367" s="255"/>
      <c r="J367" s="255"/>
      <c r="K367" s="255"/>
      <c r="L367" s="255"/>
      <c r="M367" s="255"/>
      <c r="N367" s="255"/>
      <c r="O367" s="255"/>
      <c r="P367" s="255"/>
      <c r="Q367" s="255"/>
      <c r="R367" s="255"/>
      <c r="S367" s="255"/>
      <c r="T367" s="255"/>
      <c r="U367" s="255"/>
      <c r="V367" s="255"/>
      <c r="W367" s="255"/>
      <c r="X367" s="255"/>
      <c r="Y367" s="255"/>
      <c r="Z367" s="255"/>
      <c r="AA367" s="255"/>
      <c r="AB367" s="255"/>
      <c r="AC367" s="255"/>
      <c r="AD367" s="255"/>
      <c r="AE367" s="255"/>
      <c r="AF367" s="255"/>
    </row>
    <row r="368">
      <c r="A368" s="25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255"/>
      <c r="M368" s="255"/>
      <c r="N368" s="255"/>
      <c r="O368" s="255"/>
      <c r="P368" s="255"/>
      <c r="Q368" s="255"/>
      <c r="R368" s="255"/>
      <c r="S368" s="255"/>
      <c r="T368" s="255"/>
      <c r="U368" s="255"/>
      <c r="V368" s="255"/>
      <c r="W368" s="255"/>
      <c r="X368" s="255"/>
      <c r="Y368" s="255"/>
      <c r="Z368" s="255"/>
      <c r="AA368" s="255"/>
      <c r="AB368" s="255"/>
      <c r="AC368" s="255"/>
      <c r="AD368" s="255"/>
      <c r="AE368" s="255"/>
      <c r="AF368" s="255"/>
    </row>
    <row r="369">
      <c r="A369" s="25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255"/>
      <c r="M369" s="255"/>
      <c r="N369" s="255"/>
      <c r="O369" s="255"/>
      <c r="P369" s="255"/>
      <c r="Q369" s="255"/>
      <c r="R369" s="255"/>
      <c r="S369" s="255"/>
      <c r="T369" s="255"/>
      <c r="U369" s="255"/>
      <c r="V369" s="255"/>
      <c r="W369" s="255"/>
      <c r="X369" s="255"/>
      <c r="Y369" s="255"/>
      <c r="Z369" s="255"/>
      <c r="AA369" s="255"/>
      <c r="AB369" s="255"/>
      <c r="AC369" s="255"/>
      <c r="AD369" s="255"/>
      <c r="AE369" s="255"/>
      <c r="AF369" s="255"/>
    </row>
    <row r="370">
      <c r="A370" s="255"/>
      <c r="B370" s="255"/>
      <c r="C370" s="255"/>
      <c r="D370" s="255"/>
      <c r="E370" s="255"/>
      <c r="F370" s="255"/>
      <c r="G370" s="255"/>
      <c r="H370" s="255"/>
      <c r="I370" s="255"/>
      <c r="J370" s="255"/>
      <c r="K370" s="255"/>
      <c r="L370" s="255"/>
      <c r="M370" s="255"/>
      <c r="N370" s="255"/>
      <c r="O370" s="255"/>
      <c r="P370" s="255"/>
      <c r="Q370" s="255"/>
      <c r="R370" s="255"/>
      <c r="S370" s="255"/>
      <c r="T370" s="255"/>
      <c r="U370" s="255"/>
      <c r="V370" s="255"/>
      <c r="W370" s="255"/>
      <c r="X370" s="255"/>
      <c r="Y370" s="255"/>
      <c r="Z370" s="255"/>
      <c r="AA370" s="255"/>
      <c r="AB370" s="255"/>
      <c r="AC370" s="255"/>
      <c r="AD370" s="255"/>
      <c r="AE370" s="255"/>
      <c r="AF370" s="255"/>
    </row>
    <row r="371">
      <c r="A371" s="255"/>
      <c r="B371" s="255"/>
      <c r="C371" s="255"/>
      <c r="D371" s="255"/>
      <c r="E371" s="255"/>
      <c r="F371" s="255"/>
      <c r="G371" s="255"/>
      <c r="H371" s="255"/>
      <c r="I371" s="255"/>
      <c r="J371" s="255"/>
      <c r="K371" s="255"/>
      <c r="L371" s="255"/>
      <c r="M371" s="255"/>
      <c r="N371" s="255"/>
      <c r="O371" s="255"/>
      <c r="P371" s="255"/>
      <c r="Q371" s="255"/>
      <c r="R371" s="255"/>
      <c r="S371" s="255"/>
      <c r="T371" s="255"/>
      <c r="U371" s="255"/>
      <c r="V371" s="255"/>
      <c r="W371" s="255"/>
      <c r="X371" s="255"/>
      <c r="Y371" s="255"/>
      <c r="Z371" s="255"/>
      <c r="AA371" s="255"/>
      <c r="AB371" s="255"/>
      <c r="AC371" s="255"/>
      <c r="AD371" s="255"/>
      <c r="AE371" s="255"/>
      <c r="AF371" s="255"/>
    </row>
    <row r="372">
      <c r="A372" s="25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255"/>
      <c r="M372" s="255"/>
      <c r="N372" s="255"/>
      <c r="O372" s="255"/>
      <c r="P372" s="255"/>
      <c r="Q372" s="255"/>
      <c r="R372" s="255"/>
      <c r="S372" s="255"/>
      <c r="T372" s="255"/>
      <c r="U372" s="255"/>
      <c r="V372" s="255"/>
      <c r="W372" s="255"/>
      <c r="X372" s="255"/>
      <c r="Y372" s="255"/>
      <c r="Z372" s="255"/>
      <c r="AA372" s="255"/>
      <c r="AB372" s="255"/>
      <c r="AC372" s="255"/>
      <c r="AD372" s="255"/>
      <c r="AE372" s="255"/>
      <c r="AF372" s="255"/>
    </row>
    <row r="373">
      <c r="A373" s="25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255"/>
      <c r="M373" s="255"/>
      <c r="N373" s="255"/>
      <c r="O373" s="255"/>
      <c r="P373" s="255"/>
      <c r="Q373" s="255"/>
      <c r="R373" s="255"/>
      <c r="S373" s="255"/>
      <c r="T373" s="255"/>
      <c r="U373" s="255"/>
      <c r="V373" s="255"/>
      <c r="W373" s="255"/>
      <c r="X373" s="255"/>
      <c r="Y373" s="255"/>
      <c r="Z373" s="255"/>
      <c r="AA373" s="255"/>
      <c r="AB373" s="255"/>
      <c r="AC373" s="255"/>
      <c r="AD373" s="255"/>
      <c r="AE373" s="255"/>
      <c r="AF373" s="255"/>
    </row>
    <row r="374">
      <c r="A374" s="25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255"/>
      <c r="M374" s="255"/>
      <c r="N374" s="255"/>
      <c r="O374" s="255"/>
      <c r="P374" s="255"/>
      <c r="Q374" s="255"/>
      <c r="R374" s="255"/>
      <c r="S374" s="255"/>
      <c r="T374" s="255"/>
      <c r="U374" s="255"/>
      <c r="V374" s="255"/>
      <c r="W374" s="255"/>
      <c r="X374" s="255"/>
      <c r="Y374" s="255"/>
      <c r="Z374" s="255"/>
      <c r="AA374" s="255"/>
      <c r="AB374" s="255"/>
      <c r="AC374" s="255"/>
      <c r="AD374" s="255"/>
      <c r="AE374" s="255"/>
      <c r="AF374" s="255"/>
    </row>
    <row r="375">
      <c r="A375" s="255"/>
      <c r="B375" s="255"/>
      <c r="C375" s="255"/>
      <c r="D375" s="255"/>
      <c r="E375" s="255"/>
      <c r="F375" s="255"/>
      <c r="G375" s="255"/>
      <c r="H375" s="255"/>
      <c r="I375" s="255"/>
      <c r="J375" s="255"/>
      <c r="K375" s="255"/>
      <c r="L375" s="255"/>
      <c r="M375" s="255"/>
      <c r="N375" s="255"/>
      <c r="O375" s="255"/>
      <c r="P375" s="255"/>
      <c r="Q375" s="255"/>
      <c r="R375" s="255"/>
      <c r="S375" s="255"/>
      <c r="T375" s="255"/>
      <c r="U375" s="255"/>
      <c r="V375" s="255"/>
      <c r="W375" s="255"/>
      <c r="X375" s="255"/>
      <c r="Y375" s="255"/>
      <c r="Z375" s="255"/>
      <c r="AA375" s="255"/>
      <c r="AB375" s="255"/>
      <c r="AC375" s="255"/>
      <c r="AD375" s="255"/>
      <c r="AE375" s="255"/>
      <c r="AF375" s="255"/>
    </row>
    <row r="376">
      <c r="A376" s="255"/>
      <c r="B376" s="255"/>
      <c r="C376" s="255"/>
      <c r="D376" s="255"/>
      <c r="E376" s="255"/>
      <c r="F376" s="255"/>
      <c r="G376" s="255"/>
      <c r="H376" s="255"/>
      <c r="I376" s="255"/>
      <c r="J376" s="255"/>
      <c r="K376" s="255"/>
      <c r="L376" s="255"/>
      <c r="M376" s="255"/>
      <c r="N376" s="255"/>
      <c r="O376" s="255"/>
      <c r="P376" s="255"/>
      <c r="Q376" s="255"/>
      <c r="R376" s="255"/>
      <c r="S376" s="255"/>
      <c r="T376" s="255"/>
      <c r="U376" s="255"/>
      <c r="V376" s="255"/>
      <c r="W376" s="255"/>
      <c r="X376" s="255"/>
      <c r="Y376" s="255"/>
      <c r="Z376" s="255"/>
      <c r="AA376" s="255"/>
      <c r="AB376" s="255"/>
      <c r="AC376" s="255"/>
      <c r="AD376" s="255"/>
      <c r="AE376" s="255"/>
      <c r="AF376" s="255"/>
    </row>
    <row r="377">
      <c r="A377" s="25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  <c r="M377" s="255"/>
      <c r="N377" s="255"/>
      <c r="O377" s="255"/>
      <c r="P377" s="255"/>
      <c r="Q377" s="255"/>
      <c r="R377" s="255"/>
      <c r="S377" s="255"/>
      <c r="T377" s="255"/>
      <c r="U377" s="255"/>
      <c r="V377" s="255"/>
      <c r="W377" s="255"/>
      <c r="X377" s="255"/>
      <c r="Y377" s="255"/>
      <c r="Z377" s="255"/>
      <c r="AA377" s="255"/>
      <c r="AB377" s="255"/>
      <c r="AC377" s="255"/>
      <c r="AD377" s="255"/>
      <c r="AE377" s="255"/>
      <c r="AF377" s="255"/>
    </row>
    <row r="378">
      <c r="A378" s="25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255"/>
      <c r="M378" s="255"/>
      <c r="N378" s="255"/>
      <c r="O378" s="255"/>
      <c r="P378" s="255"/>
      <c r="Q378" s="255"/>
      <c r="R378" s="255"/>
      <c r="S378" s="255"/>
      <c r="T378" s="255"/>
      <c r="U378" s="255"/>
      <c r="V378" s="255"/>
      <c r="W378" s="255"/>
      <c r="X378" s="255"/>
      <c r="Y378" s="255"/>
      <c r="Z378" s="255"/>
      <c r="AA378" s="255"/>
      <c r="AB378" s="255"/>
      <c r="AC378" s="255"/>
      <c r="AD378" s="255"/>
      <c r="AE378" s="255"/>
      <c r="AF378" s="255"/>
    </row>
    <row r="379">
      <c r="A379" s="255"/>
      <c r="B379" s="255"/>
      <c r="C379" s="255"/>
      <c r="D379" s="255"/>
      <c r="E379" s="255"/>
      <c r="F379" s="255"/>
      <c r="G379" s="255"/>
      <c r="H379" s="255"/>
      <c r="I379" s="255"/>
      <c r="J379" s="255"/>
      <c r="K379" s="255"/>
      <c r="L379" s="255"/>
      <c r="M379" s="255"/>
      <c r="N379" s="255"/>
      <c r="O379" s="255"/>
      <c r="P379" s="255"/>
      <c r="Q379" s="255"/>
      <c r="R379" s="255"/>
      <c r="S379" s="255"/>
      <c r="T379" s="255"/>
      <c r="U379" s="255"/>
      <c r="V379" s="255"/>
      <c r="W379" s="255"/>
      <c r="X379" s="255"/>
      <c r="Y379" s="255"/>
      <c r="Z379" s="255"/>
      <c r="AA379" s="255"/>
      <c r="AB379" s="255"/>
      <c r="AC379" s="255"/>
      <c r="AD379" s="255"/>
      <c r="AE379" s="255"/>
      <c r="AF379" s="255"/>
    </row>
    <row r="380">
      <c r="A380" s="255"/>
      <c r="B380" s="255"/>
      <c r="C380" s="255"/>
      <c r="D380" s="255"/>
      <c r="E380" s="255"/>
      <c r="F380" s="255"/>
      <c r="G380" s="255"/>
      <c r="H380" s="255"/>
      <c r="I380" s="255"/>
      <c r="J380" s="255"/>
      <c r="K380" s="255"/>
      <c r="L380" s="255"/>
      <c r="M380" s="255"/>
      <c r="N380" s="255"/>
      <c r="O380" s="255"/>
      <c r="P380" s="255"/>
      <c r="Q380" s="255"/>
      <c r="R380" s="255"/>
      <c r="S380" s="255"/>
      <c r="T380" s="255"/>
      <c r="U380" s="255"/>
      <c r="V380" s="255"/>
      <c r="W380" s="255"/>
      <c r="X380" s="255"/>
      <c r="Y380" s="255"/>
      <c r="Z380" s="255"/>
      <c r="AA380" s="255"/>
      <c r="AB380" s="255"/>
      <c r="AC380" s="255"/>
      <c r="AD380" s="255"/>
      <c r="AE380" s="255"/>
      <c r="AF380" s="255"/>
    </row>
    <row r="381">
      <c r="A381" s="25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255"/>
      <c r="M381" s="255"/>
      <c r="N381" s="255"/>
      <c r="O381" s="255"/>
      <c r="P381" s="255"/>
      <c r="Q381" s="255"/>
      <c r="R381" s="255"/>
      <c r="S381" s="255"/>
      <c r="T381" s="255"/>
      <c r="U381" s="255"/>
      <c r="V381" s="255"/>
      <c r="W381" s="255"/>
      <c r="X381" s="255"/>
      <c r="Y381" s="255"/>
      <c r="Z381" s="255"/>
      <c r="AA381" s="255"/>
      <c r="AB381" s="255"/>
      <c r="AC381" s="255"/>
      <c r="AD381" s="255"/>
      <c r="AE381" s="255"/>
      <c r="AF381" s="255"/>
    </row>
    <row r="382">
      <c r="A382" s="25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255"/>
      <c r="M382" s="255"/>
      <c r="N382" s="255"/>
      <c r="O382" s="255"/>
      <c r="P382" s="255"/>
      <c r="Q382" s="255"/>
      <c r="R382" s="255"/>
      <c r="S382" s="255"/>
      <c r="T382" s="255"/>
      <c r="U382" s="255"/>
      <c r="V382" s="255"/>
      <c r="W382" s="255"/>
      <c r="X382" s="255"/>
      <c r="Y382" s="255"/>
      <c r="Z382" s="255"/>
      <c r="AA382" s="255"/>
      <c r="AB382" s="255"/>
      <c r="AC382" s="255"/>
      <c r="AD382" s="255"/>
      <c r="AE382" s="255"/>
      <c r="AF382" s="255"/>
    </row>
    <row r="383">
      <c r="A383" s="255"/>
      <c r="B383" s="255"/>
      <c r="C383" s="255"/>
      <c r="D383" s="255"/>
      <c r="E383" s="255"/>
      <c r="F383" s="255"/>
      <c r="G383" s="255"/>
      <c r="H383" s="255"/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255"/>
      <c r="U383" s="255"/>
      <c r="V383" s="255"/>
      <c r="W383" s="255"/>
      <c r="X383" s="255"/>
      <c r="Y383" s="255"/>
      <c r="Z383" s="255"/>
      <c r="AA383" s="255"/>
      <c r="AB383" s="255"/>
      <c r="AC383" s="255"/>
      <c r="AD383" s="255"/>
      <c r="AE383" s="255"/>
      <c r="AF383" s="255"/>
    </row>
    <row r="384">
      <c r="A384" s="255"/>
      <c r="B384" s="255"/>
      <c r="C384" s="255"/>
      <c r="D384" s="255"/>
      <c r="E384" s="255"/>
      <c r="F384" s="255"/>
      <c r="G384" s="255"/>
      <c r="H384" s="255"/>
      <c r="I384" s="255"/>
      <c r="J384" s="255"/>
      <c r="K384" s="255"/>
      <c r="L384" s="255"/>
      <c r="M384" s="255"/>
      <c r="N384" s="255"/>
      <c r="O384" s="255"/>
      <c r="P384" s="255"/>
      <c r="Q384" s="255"/>
      <c r="R384" s="255"/>
      <c r="S384" s="255"/>
      <c r="T384" s="255"/>
      <c r="U384" s="255"/>
      <c r="V384" s="255"/>
      <c r="W384" s="255"/>
      <c r="X384" s="255"/>
      <c r="Y384" s="255"/>
      <c r="Z384" s="255"/>
      <c r="AA384" s="255"/>
      <c r="AB384" s="255"/>
      <c r="AC384" s="255"/>
      <c r="AD384" s="255"/>
      <c r="AE384" s="255"/>
      <c r="AF384" s="255"/>
    </row>
    <row r="385">
      <c r="A385" s="255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255"/>
      <c r="M385" s="255"/>
      <c r="N385" s="255"/>
      <c r="O385" s="255"/>
      <c r="P385" s="255"/>
      <c r="Q385" s="255"/>
      <c r="R385" s="255"/>
      <c r="S385" s="255"/>
      <c r="T385" s="255"/>
      <c r="U385" s="255"/>
      <c r="V385" s="255"/>
      <c r="W385" s="255"/>
      <c r="X385" s="255"/>
      <c r="Y385" s="255"/>
      <c r="Z385" s="255"/>
      <c r="AA385" s="255"/>
      <c r="AB385" s="255"/>
      <c r="AC385" s="255"/>
      <c r="AD385" s="255"/>
      <c r="AE385" s="255"/>
      <c r="AF385" s="255"/>
    </row>
    <row r="386">
      <c r="A386" s="255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255"/>
      <c r="M386" s="255"/>
      <c r="N386" s="255"/>
      <c r="O386" s="255"/>
      <c r="P386" s="255"/>
      <c r="Q386" s="255"/>
      <c r="R386" s="255"/>
      <c r="S386" s="255"/>
      <c r="T386" s="255"/>
      <c r="U386" s="255"/>
      <c r="V386" s="255"/>
      <c r="W386" s="255"/>
      <c r="X386" s="255"/>
      <c r="Y386" s="255"/>
      <c r="Z386" s="255"/>
      <c r="AA386" s="255"/>
      <c r="AB386" s="255"/>
      <c r="AC386" s="255"/>
      <c r="AD386" s="255"/>
      <c r="AE386" s="255"/>
      <c r="AF386" s="255"/>
    </row>
    <row r="387">
      <c r="A387" s="255"/>
      <c r="B387" s="255"/>
      <c r="C387" s="255"/>
      <c r="D387" s="255"/>
      <c r="E387" s="255"/>
      <c r="F387" s="255"/>
      <c r="G387" s="255"/>
      <c r="H387" s="255"/>
      <c r="I387" s="255"/>
      <c r="J387" s="255"/>
      <c r="K387" s="255"/>
      <c r="L387" s="255"/>
      <c r="M387" s="255"/>
      <c r="N387" s="255"/>
      <c r="O387" s="255"/>
      <c r="P387" s="255"/>
      <c r="Q387" s="255"/>
      <c r="R387" s="255"/>
      <c r="S387" s="255"/>
      <c r="T387" s="255"/>
      <c r="U387" s="255"/>
      <c r="V387" s="255"/>
      <c r="W387" s="255"/>
      <c r="X387" s="255"/>
      <c r="Y387" s="255"/>
      <c r="Z387" s="255"/>
      <c r="AA387" s="255"/>
      <c r="AB387" s="255"/>
      <c r="AC387" s="255"/>
      <c r="AD387" s="255"/>
      <c r="AE387" s="255"/>
      <c r="AF387" s="255"/>
    </row>
    <row r="388">
      <c r="A388" s="255"/>
      <c r="B388" s="255"/>
      <c r="C388" s="255"/>
      <c r="D388" s="255"/>
      <c r="E388" s="255"/>
      <c r="F388" s="255"/>
      <c r="G388" s="255"/>
      <c r="H388" s="255"/>
      <c r="I388" s="255"/>
      <c r="J388" s="255"/>
      <c r="K388" s="255"/>
      <c r="L388" s="255"/>
      <c r="M388" s="255"/>
      <c r="N388" s="255"/>
      <c r="O388" s="255"/>
      <c r="P388" s="255"/>
      <c r="Q388" s="255"/>
      <c r="R388" s="255"/>
      <c r="S388" s="255"/>
      <c r="T388" s="255"/>
      <c r="U388" s="255"/>
      <c r="V388" s="255"/>
      <c r="W388" s="255"/>
      <c r="X388" s="255"/>
      <c r="Y388" s="255"/>
      <c r="Z388" s="255"/>
      <c r="AA388" s="255"/>
      <c r="AB388" s="255"/>
      <c r="AC388" s="255"/>
      <c r="AD388" s="255"/>
      <c r="AE388" s="255"/>
      <c r="AF388" s="255"/>
    </row>
    <row r="389">
      <c r="A389" s="255"/>
      <c r="B389" s="255"/>
      <c r="C389" s="255"/>
      <c r="D389" s="255"/>
      <c r="E389" s="255"/>
      <c r="F389" s="255"/>
      <c r="G389" s="255"/>
      <c r="H389" s="255"/>
      <c r="I389" s="255"/>
      <c r="J389" s="255"/>
      <c r="K389" s="255"/>
      <c r="L389" s="255"/>
      <c r="M389" s="255"/>
      <c r="N389" s="255"/>
      <c r="O389" s="255"/>
      <c r="P389" s="255"/>
      <c r="Q389" s="255"/>
      <c r="R389" s="255"/>
      <c r="S389" s="255"/>
      <c r="T389" s="255"/>
      <c r="U389" s="255"/>
      <c r="V389" s="255"/>
      <c r="W389" s="255"/>
      <c r="X389" s="255"/>
      <c r="Y389" s="255"/>
      <c r="Z389" s="255"/>
      <c r="AA389" s="255"/>
      <c r="AB389" s="255"/>
      <c r="AC389" s="255"/>
      <c r="AD389" s="255"/>
      <c r="AE389" s="255"/>
      <c r="AF389" s="255"/>
    </row>
    <row r="390">
      <c r="A390" s="255"/>
      <c r="B390" s="255"/>
      <c r="C390" s="255"/>
      <c r="D390" s="255"/>
      <c r="E390" s="255"/>
      <c r="F390" s="255"/>
      <c r="G390" s="255"/>
      <c r="H390" s="255"/>
      <c r="I390" s="255"/>
      <c r="J390" s="255"/>
      <c r="K390" s="255"/>
      <c r="L390" s="255"/>
      <c r="M390" s="255"/>
      <c r="N390" s="255"/>
      <c r="O390" s="255"/>
      <c r="P390" s="255"/>
      <c r="Q390" s="255"/>
      <c r="R390" s="255"/>
      <c r="S390" s="255"/>
      <c r="T390" s="255"/>
      <c r="U390" s="255"/>
      <c r="V390" s="255"/>
      <c r="W390" s="255"/>
      <c r="X390" s="255"/>
      <c r="Y390" s="255"/>
      <c r="Z390" s="255"/>
      <c r="AA390" s="255"/>
      <c r="AB390" s="255"/>
      <c r="AC390" s="255"/>
      <c r="AD390" s="255"/>
      <c r="AE390" s="255"/>
      <c r="AF390" s="255"/>
    </row>
    <row r="391">
      <c r="A391" s="25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255"/>
      <c r="P391" s="255"/>
      <c r="Q391" s="255"/>
      <c r="R391" s="255"/>
      <c r="S391" s="255"/>
      <c r="T391" s="255"/>
      <c r="U391" s="255"/>
      <c r="V391" s="255"/>
      <c r="W391" s="255"/>
      <c r="X391" s="255"/>
      <c r="Y391" s="255"/>
      <c r="Z391" s="255"/>
      <c r="AA391" s="255"/>
      <c r="AB391" s="255"/>
      <c r="AC391" s="255"/>
      <c r="AD391" s="255"/>
      <c r="AE391" s="255"/>
      <c r="AF391" s="255"/>
    </row>
    <row r="392">
      <c r="A392" s="25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255"/>
      <c r="M392" s="255"/>
      <c r="N392" s="255"/>
      <c r="O392" s="255"/>
      <c r="P392" s="255"/>
      <c r="Q392" s="255"/>
      <c r="R392" s="255"/>
      <c r="S392" s="255"/>
      <c r="T392" s="255"/>
      <c r="U392" s="255"/>
      <c r="V392" s="255"/>
      <c r="W392" s="255"/>
      <c r="X392" s="255"/>
      <c r="Y392" s="255"/>
      <c r="Z392" s="255"/>
      <c r="AA392" s="255"/>
      <c r="AB392" s="255"/>
      <c r="AC392" s="255"/>
      <c r="AD392" s="255"/>
      <c r="AE392" s="255"/>
      <c r="AF392" s="255"/>
    </row>
    <row r="393">
      <c r="A393" s="255"/>
      <c r="B393" s="255"/>
      <c r="C393" s="255"/>
      <c r="D393" s="255"/>
      <c r="E393" s="255"/>
      <c r="F393" s="255"/>
      <c r="G393" s="255"/>
      <c r="H393" s="255"/>
      <c r="I393" s="255"/>
      <c r="J393" s="255"/>
      <c r="K393" s="255"/>
      <c r="L393" s="255"/>
      <c r="M393" s="255"/>
      <c r="N393" s="255"/>
      <c r="O393" s="255"/>
      <c r="P393" s="255"/>
      <c r="Q393" s="255"/>
      <c r="R393" s="255"/>
      <c r="S393" s="255"/>
      <c r="T393" s="255"/>
      <c r="U393" s="255"/>
      <c r="V393" s="255"/>
      <c r="W393" s="255"/>
      <c r="X393" s="255"/>
      <c r="Y393" s="255"/>
      <c r="Z393" s="255"/>
      <c r="AA393" s="255"/>
      <c r="AB393" s="255"/>
      <c r="AC393" s="255"/>
      <c r="AD393" s="255"/>
      <c r="AE393" s="255"/>
      <c r="AF393" s="255"/>
    </row>
    <row r="394">
      <c r="A394" s="255"/>
      <c r="B394" s="255"/>
      <c r="C394" s="255"/>
      <c r="D394" s="255"/>
      <c r="E394" s="255"/>
      <c r="F394" s="255"/>
      <c r="G394" s="255"/>
      <c r="H394" s="255"/>
      <c r="I394" s="255"/>
      <c r="J394" s="255"/>
      <c r="K394" s="255"/>
      <c r="L394" s="255"/>
      <c r="M394" s="255"/>
      <c r="N394" s="255"/>
      <c r="O394" s="255"/>
      <c r="P394" s="255"/>
      <c r="Q394" s="255"/>
      <c r="R394" s="255"/>
      <c r="S394" s="255"/>
      <c r="T394" s="255"/>
      <c r="U394" s="255"/>
      <c r="V394" s="255"/>
      <c r="W394" s="255"/>
      <c r="X394" s="255"/>
      <c r="Y394" s="255"/>
      <c r="Z394" s="255"/>
      <c r="AA394" s="255"/>
      <c r="AB394" s="255"/>
      <c r="AC394" s="255"/>
      <c r="AD394" s="255"/>
      <c r="AE394" s="255"/>
      <c r="AF394" s="255"/>
    </row>
    <row r="395">
      <c r="A395" s="25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5"/>
      <c r="U395" s="255"/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</row>
    <row r="396">
      <c r="A396" s="255"/>
      <c r="B396" s="255"/>
      <c r="C396" s="255"/>
      <c r="D396" s="255"/>
      <c r="E396" s="255"/>
      <c r="F396" s="255"/>
      <c r="G396" s="255"/>
      <c r="H396" s="255"/>
      <c r="I396" s="255"/>
      <c r="J396" s="255"/>
      <c r="K396" s="255"/>
      <c r="L396" s="255"/>
      <c r="M396" s="255"/>
      <c r="N396" s="255"/>
      <c r="O396" s="255"/>
      <c r="P396" s="255"/>
      <c r="Q396" s="255"/>
      <c r="R396" s="255"/>
      <c r="S396" s="255"/>
      <c r="T396" s="255"/>
      <c r="U396" s="255"/>
      <c r="V396" s="255"/>
      <c r="W396" s="255"/>
      <c r="X396" s="255"/>
      <c r="Y396" s="255"/>
      <c r="Z396" s="255"/>
      <c r="AA396" s="255"/>
      <c r="AB396" s="255"/>
      <c r="AC396" s="255"/>
      <c r="AD396" s="255"/>
      <c r="AE396" s="255"/>
      <c r="AF396" s="255"/>
    </row>
    <row r="397">
      <c r="A397" s="255"/>
      <c r="B397" s="255"/>
      <c r="C397" s="255"/>
      <c r="D397" s="255"/>
      <c r="E397" s="255"/>
      <c r="F397" s="255"/>
      <c r="G397" s="255"/>
      <c r="H397" s="255"/>
      <c r="I397" s="255"/>
      <c r="J397" s="255"/>
      <c r="K397" s="255"/>
      <c r="L397" s="255"/>
      <c r="M397" s="255"/>
      <c r="N397" s="255"/>
      <c r="O397" s="255"/>
      <c r="P397" s="255"/>
      <c r="Q397" s="255"/>
      <c r="R397" s="255"/>
      <c r="S397" s="255"/>
      <c r="T397" s="255"/>
      <c r="U397" s="255"/>
      <c r="V397" s="255"/>
      <c r="W397" s="255"/>
      <c r="X397" s="255"/>
      <c r="Y397" s="255"/>
      <c r="Z397" s="255"/>
      <c r="AA397" s="255"/>
      <c r="AB397" s="255"/>
      <c r="AC397" s="255"/>
      <c r="AD397" s="255"/>
      <c r="AE397" s="255"/>
      <c r="AF397" s="255"/>
    </row>
    <row r="398">
      <c r="A398" s="25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  <c r="M398" s="255"/>
      <c r="N398" s="255"/>
      <c r="O398" s="255"/>
      <c r="P398" s="255"/>
      <c r="Q398" s="255"/>
      <c r="R398" s="255"/>
      <c r="S398" s="255"/>
      <c r="T398" s="255"/>
      <c r="U398" s="255"/>
      <c r="V398" s="255"/>
      <c r="W398" s="255"/>
      <c r="X398" s="255"/>
      <c r="Y398" s="255"/>
      <c r="Z398" s="255"/>
      <c r="AA398" s="255"/>
      <c r="AB398" s="255"/>
      <c r="AC398" s="255"/>
      <c r="AD398" s="255"/>
      <c r="AE398" s="255"/>
      <c r="AF398" s="255"/>
    </row>
    <row r="399">
      <c r="A399" s="255"/>
      <c r="B399" s="255"/>
      <c r="C399" s="255"/>
      <c r="D399" s="255"/>
      <c r="E399" s="255"/>
      <c r="F399" s="255"/>
      <c r="G399" s="255"/>
      <c r="H399" s="255"/>
      <c r="I399" s="255"/>
      <c r="J399" s="255"/>
      <c r="K399" s="255"/>
      <c r="L399" s="255"/>
      <c r="M399" s="255"/>
      <c r="N399" s="255"/>
      <c r="O399" s="255"/>
      <c r="P399" s="255"/>
      <c r="Q399" s="255"/>
      <c r="R399" s="255"/>
      <c r="S399" s="255"/>
      <c r="T399" s="255"/>
      <c r="U399" s="255"/>
      <c r="V399" s="255"/>
      <c r="W399" s="255"/>
      <c r="X399" s="255"/>
      <c r="Y399" s="255"/>
      <c r="Z399" s="255"/>
      <c r="AA399" s="255"/>
      <c r="AB399" s="255"/>
      <c r="AC399" s="255"/>
      <c r="AD399" s="255"/>
      <c r="AE399" s="255"/>
      <c r="AF399" s="255"/>
    </row>
    <row r="400">
      <c r="A400" s="255"/>
      <c r="B400" s="255"/>
      <c r="C400" s="255"/>
      <c r="D400" s="255"/>
      <c r="E400" s="255"/>
      <c r="F400" s="255"/>
      <c r="G400" s="255"/>
      <c r="H400" s="255"/>
      <c r="I400" s="255"/>
      <c r="J400" s="255"/>
      <c r="K400" s="255"/>
      <c r="L400" s="255"/>
      <c r="M400" s="255"/>
      <c r="N400" s="255"/>
      <c r="O400" s="255"/>
      <c r="P400" s="255"/>
      <c r="Q400" s="255"/>
      <c r="R400" s="255"/>
      <c r="S400" s="255"/>
      <c r="T400" s="255"/>
      <c r="U400" s="255"/>
      <c r="V400" s="255"/>
      <c r="W400" s="255"/>
      <c r="X400" s="255"/>
      <c r="Y400" s="255"/>
      <c r="Z400" s="255"/>
      <c r="AA400" s="255"/>
      <c r="AB400" s="255"/>
      <c r="AC400" s="255"/>
      <c r="AD400" s="255"/>
      <c r="AE400" s="255"/>
      <c r="AF400" s="255"/>
    </row>
  </sheetData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</sheetPr>
  <dimension ref="A1:A1"/>
  <sheetViews>
    <sheetView showGridLines="0" workbookViewId="0">
      <selection activeCell="A1" sqref="A1"/>
    </sheetView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  <outlinePr summaryBelow="0" summaryRight="0"/>
  </sheetPr>
  <dimension ref="A2:I33"/>
  <sheetViews>
    <sheetView workbookViewId="0">
      <selection activeCell="A1" sqref="A1"/>
    </sheetView>
  </sheetViews>
  <sheetFormatPr defaultRowHeight="10.15"/>
  <cols>
    <col min="1" max="1" width="45.796875" customWidth="1" style="305"/>
    <col min="2" max="6" width="14.796875" customWidth="1" style="305"/>
    <col min="7" max="109" width="9.06640625" customWidth="0" style="305"/>
  </cols>
  <sheetData>
    <row r="2">
      <c r="A2" t="s" s="296">
        <v>1474</v>
      </c>
      <c r="B2" s="296"/>
      <c r="C2" s="296"/>
      <c r="D2" s="296"/>
      <c r="E2" s="296"/>
      <c r="F2" s="296"/>
      <c r="G2" s="296"/>
      <c r="H2" s="296"/>
      <c r="I2" s="296"/>
    </row>
    <row r="3" ht="24" customHeight="1">
      <c r="A3" t="s" s="297">
        <v>1667</v>
      </c>
      <c r="B3" t="s" s="298">
        <v>1668</v>
      </c>
      <c r="C3" t="s" s="298">
        <v>1628</v>
      </c>
      <c r="D3" t="s" s="298">
        <v>1669</v>
      </c>
      <c r="E3" t="s" s="298">
        <v>1670</v>
      </c>
      <c r="F3" t="s" s="298">
        <v>1671</v>
      </c>
      <c r="G3" t="s" s="298">
        <v>1672</v>
      </c>
      <c r="H3" t="s" s="298">
        <v>1673</v>
      </c>
      <c r="I3" t="s" s="298">
        <v>1674</v>
      </c>
    </row>
    <row r="4">
      <c r="A4" t="s" s="299">
        <v>1481</v>
      </c>
      <c r="B4" t="s" s="300">
        <v>1675</v>
      </c>
      <c r="C4" t="s" s="300">
        <v>1675</v>
      </c>
      <c r="D4" t="s" s="300">
        <v>1675</v>
      </c>
      <c r="E4" t="s" s="300">
        <v>1675</v>
      </c>
      <c r="F4" t="s" s="300">
        <v>1675</v>
      </c>
      <c r="G4" t="s" s="300">
        <v>1675</v>
      </c>
      <c r="H4" t="s" s="300">
        <v>1675</v>
      </c>
      <c r="I4" t="s" s="300">
        <v>1675</v>
      </c>
    </row>
    <row r="5">
      <c r="A5" s="302"/>
      <c r="B5" s="303"/>
      <c r="C5" s="303"/>
      <c r="D5" s="303"/>
      <c r="E5" s="303"/>
      <c r="F5" s="303"/>
      <c r="G5" s="303"/>
      <c r="H5" s="303"/>
      <c r="I5" s="303"/>
    </row>
    <row r="6">
      <c r="A6" t="s" s="302">
        <v>303</v>
      </c>
      <c r="B6" s="303">
        <v>252.022</v>
      </c>
      <c r="C6" s="303">
        <v>303.426</v>
      </c>
      <c r="D6" s="303">
        <v>368.168</v>
      </c>
      <c r="E6" s="303">
        <v>451.803</v>
      </c>
      <c r="F6" s="303">
        <v>731.368</v>
      </c>
      <c r="G6" s="303">
        <v>126.864</v>
      </c>
      <c r="H6" s="303">
        <v>221.228</v>
      </c>
      <c r="I6" s="303">
        <f>F6-G6+H6</f>
        <v>825.732</v>
      </c>
    </row>
    <row r="7">
      <c r="A7" t="s" s="302">
        <v>33</v>
      </c>
      <c r="B7" s="303">
        <v>67.864</v>
      </c>
      <c r="C7" s="303">
        <v>87.784</v>
      </c>
      <c r="D7" s="303">
        <v>107.127</v>
      </c>
      <c r="E7" s="303">
        <v>122.987</v>
      </c>
      <c r="F7" s="303">
        <v>239.22</v>
      </c>
      <c r="G7" s="303">
        <v>33.924</v>
      </c>
      <c r="H7" s="303">
        <v>75.681</v>
      </c>
      <c r="I7" s="303">
        <f>F7-G7+H7</f>
        <v>280.977</v>
      </c>
    </row>
    <row r="8">
      <c r="A8" t="s" s="301">
        <v>1676</v>
      </c>
      <c r="B8" s="304">
        <v>184.158</v>
      </c>
      <c r="C8" s="304">
        <v>215.642</v>
      </c>
      <c r="D8" s="304">
        <v>261.041</v>
      </c>
      <c r="E8" s="304">
        <v>328.816</v>
      </c>
      <c r="F8" s="304">
        <v>492.148</v>
      </c>
      <c r="G8" s="304">
        <v>92.94</v>
      </c>
      <c r="H8" s="304">
        <v>145.547</v>
      </c>
      <c r="I8" s="304">
        <f>F8-G8+H8</f>
        <v>544.755</v>
      </c>
    </row>
    <row r="9">
      <c r="A9" s="302"/>
      <c r="B9" s="303"/>
      <c r="C9" s="303"/>
      <c r="D9" s="303"/>
      <c r="E9" s="303"/>
      <c r="F9" s="303"/>
      <c r="G9" s="303"/>
      <c r="H9" s="303"/>
      <c r="I9" s="303"/>
    </row>
    <row r="10">
      <c r="A10" t="s" s="302">
        <v>34</v>
      </c>
      <c r="B10" s="303">
        <v>72.69</v>
      </c>
      <c r="C10" s="303">
        <v>94.12</v>
      </c>
      <c r="D10" s="303">
        <v>123.925</v>
      </c>
      <c r="E10" s="303">
        <v>150.558</v>
      </c>
      <c r="F10" s="303">
        <v>196.228</v>
      </c>
      <c r="G10" s="303">
        <v>37.4</v>
      </c>
      <c r="H10" s="303">
        <v>57.05</v>
      </c>
      <c r="I10" s="303">
        <f>F10-G10+H10</f>
        <v>215.878</v>
      </c>
    </row>
    <row r="11">
      <c r="A11" t="s" s="302">
        <v>35</v>
      </c>
      <c r="B11" s="303">
        <v>39.065</v>
      </c>
      <c r="C11" s="303">
        <v>52.638</v>
      </c>
      <c r="D11" s="303">
        <v>60.365</v>
      </c>
      <c r="E11" s="303">
        <v>67.254</v>
      </c>
      <c r="F11" s="303">
        <v>149.18</v>
      </c>
      <c r="G11" s="303">
        <v>19.631</v>
      </c>
      <c r="H11" s="303">
        <v>46.241</v>
      </c>
      <c r="I11" s="303">
        <f>F11-G11+H11</f>
        <v>175.79000000000002</v>
      </c>
    </row>
    <row r="12">
      <c r="A12" t="s" s="302">
        <v>36</v>
      </c>
      <c r="B12" s="303">
        <v>43.942</v>
      </c>
      <c r="C12" s="303">
        <v>63.767</v>
      </c>
      <c r="D12" s="303">
        <v>93.496</v>
      </c>
      <c r="E12" s="303">
        <v>98.77</v>
      </c>
      <c r="F12" s="303">
        <v>154.426</v>
      </c>
      <c r="G12" s="303">
        <v>28.827</v>
      </c>
      <c r="H12" s="303">
        <v>33.266</v>
      </c>
      <c r="I12" s="303">
        <f>F12-G12+H12</f>
        <v>158.86499999999998</v>
      </c>
    </row>
    <row r="13">
      <c r="A13" t="s" s="301">
        <v>1677</v>
      </c>
      <c r="B13" s="304">
        <v>155.697</v>
      </c>
      <c r="C13" s="304">
        <v>210.525</v>
      </c>
      <c r="D13" s="304">
        <v>277.786</v>
      </c>
      <c r="E13" s="304">
        <v>316.582</v>
      </c>
      <c r="F13" s="304">
        <v>499.834</v>
      </c>
      <c r="G13" s="304">
        <v>85.858</v>
      </c>
      <c r="H13" s="304">
        <v>136.557</v>
      </c>
      <c r="I13" s="304">
        <f>F13-G13+H13</f>
        <v>550.533</v>
      </c>
    </row>
    <row r="14">
      <c r="A14" s="302"/>
      <c r="B14" s="303"/>
      <c r="C14" s="303"/>
      <c r="D14" s="303"/>
      <c r="E14" s="303"/>
      <c r="F14" s="303"/>
      <c r="G14" s="303"/>
      <c r="H14" s="303"/>
      <c r="I14" s="303"/>
    </row>
    <row r="15">
      <c r="A15" t="s" s="301">
        <v>1678</v>
      </c>
      <c r="B15" s="304">
        <v>28.461</v>
      </c>
      <c r="C15" s="304">
        <v>5.117</v>
      </c>
      <c r="D15" s="304">
        <v>-16.745</v>
      </c>
      <c r="E15" s="304">
        <v>12.234</v>
      </c>
      <c r="F15" s="304">
        <v>-7.686</v>
      </c>
      <c r="G15" s="304">
        <v>7.082</v>
      </c>
      <c r="H15" s="304">
        <v>8.99</v>
      </c>
      <c r="I15" s="304">
        <f>F15-G15+H15</f>
        <v>-5.7780000000000005</v>
      </c>
    </row>
    <row r="16">
      <c r="A16" s="302"/>
      <c r="B16" s="303"/>
      <c r="C16" s="303"/>
      <c r="D16" s="303"/>
      <c r="E16" s="303"/>
      <c r="F16" s="303"/>
      <c r="G16" s="303"/>
      <c r="H16" s="303"/>
      <c r="I16" s="303"/>
    </row>
    <row r="17">
      <c r="A17" t="s" s="302">
        <v>76</v>
      </c>
      <c r="B17" s="303"/>
      <c r="C17" s="303"/>
      <c r="D17" s="303">
        <v>4.729</v>
      </c>
      <c r="E17" s="303">
        <v>4.325</v>
      </c>
      <c r="F17" s="303">
        <v>45.664</v>
      </c>
      <c r="G17" s="303">
        <v>0.919</v>
      </c>
      <c r="H17" s="303">
        <v>12.646</v>
      </c>
      <c r="I17" s="303">
        <f>F17-G17+H17</f>
        <v>57.391000000000005</v>
      </c>
    </row>
    <row r="18">
      <c r="A18" t="s" s="302">
        <v>1679</v>
      </c>
      <c r="B18" s="303">
        <v>25.682</v>
      </c>
      <c r="C18" s="303">
        <v>-1.137</v>
      </c>
      <c r="D18" s="303"/>
      <c r="E18" s="303"/>
      <c r="F18" s="303"/>
      <c r="G18" s="303"/>
      <c r="H18" s="303"/>
      <c r="I18" s="303"/>
    </row>
    <row r="19">
      <c r="A19" t="s" s="302">
        <v>77</v>
      </c>
      <c r="B19" s="303"/>
      <c r="C19" s="303">
        <v>11.639</v>
      </c>
      <c r="D19" s="303">
        <v>14.396</v>
      </c>
      <c r="E19" s="303">
        <v>53.181</v>
      </c>
      <c r="F19" s="303"/>
      <c r="G19" s="303"/>
      <c r="H19" s="303"/>
      <c r="I19" s="303"/>
    </row>
    <row r="20">
      <c r="A20" t="s" s="302">
        <v>548</v>
      </c>
      <c r="B20" s="303">
        <v>10.303</v>
      </c>
      <c r="C20" s="303"/>
      <c r="D20" s="303"/>
      <c r="E20" s="303"/>
      <c r="F20" s="303"/>
      <c r="G20" s="303"/>
      <c r="H20" s="303"/>
      <c r="I20" s="303"/>
    </row>
    <row r="21">
      <c r="A21" t="s" s="302">
        <v>1680</v>
      </c>
      <c r="B21" s="303">
        <v>0.083</v>
      </c>
      <c r="C21" s="303">
        <v>-0.05</v>
      </c>
      <c r="D21" s="303">
        <v>-13.004</v>
      </c>
      <c r="E21" s="303">
        <v>-15.209</v>
      </c>
      <c r="F21" s="303">
        <v>-3.678</v>
      </c>
      <c r="G21" s="303">
        <v>-2.323</v>
      </c>
      <c r="H21" s="303">
        <v>-0.051</v>
      </c>
      <c r="I21" s="303">
        <f>F21-G21+H21</f>
        <v>-1.406</v>
      </c>
    </row>
    <row r="22">
      <c r="A22" t="s" s="301">
        <v>1681</v>
      </c>
      <c r="B22" s="304">
        <v>-7.607</v>
      </c>
      <c r="C22" s="304">
        <v>-5.335</v>
      </c>
      <c r="D22" s="304">
        <v>-22.866</v>
      </c>
      <c r="E22" s="304">
        <v>-30.063</v>
      </c>
      <c r="F22" s="304">
        <v>-49.672</v>
      </c>
      <c r="G22" s="304">
        <v>8.486</v>
      </c>
      <c r="H22" s="304">
        <v>-3.605</v>
      </c>
      <c r="I22" s="304">
        <f>F22-G22+H22</f>
        <v>-61.763</v>
      </c>
    </row>
    <row r="23">
      <c r="A23" s="302"/>
      <c r="B23" s="303"/>
      <c r="C23" s="303"/>
      <c r="D23" s="303"/>
      <c r="E23" s="303"/>
      <c r="F23" s="303"/>
      <c r="G23" s="303"/>
      <c r="H23" s="303"/>
      <c r="I23" s="303"/>
    </row>
    <row r="24">
      <c r="A24" t="s" s="302">
        <v>1682</v>
      </c>
      <c r="B24" s="303">
        <v>0.487</v>
      </c>
      <c r="C24" s="303">
        <v>1.36</v>
      </c>
      <c r="D24" s="303">
        <v>0.217</v>
      </c>
      <c r="E24" s="303">
        <v>-457.648</v>
      </c>
      <c r="F24" s="303">
        <v>-9.418</v>
      </c>
      <c r="G24" s="303">
        <v>1.55</v>
      </c>
      <c r="H24" s="303">
        <v>-0.809</v>
      </c>
      <c r="I24" s="303">
        <f>F24-G24+H24</f>
        <v>-11.777</v>
      </c>
    </row>
    <row r="25">
      <c r="A25" t="s" s="301">
        <v>1683</v>
      </c>
      <c r="B25" s="304">
        <v>-8.094</v>
      </c>
      <c r="C25" s="304">
        <v>-6.695</v>
      </c>
      <c r="D25" s="304">
        <v>-23.083</v>
      </c>
      <c r="E25" s="304">
        <v>427.585</v>
      </c>
      <c r="F25" s="304">
        <v>-40.254</v>
      </c>
      <c r="G25" s="304">
        <v>6.936</v>
      </c>
      <c r="H25" s="304">
        <v>-2.796</v>
      </c>
      <c r="I25" s="304">
        <f>F25-G25+H25</f>
        <v>-49.986</v>
      </c>
    </row>
    <row r="26">
      <c r="A26" t="s" s="302">
        <v>553</v>
      </c>
      <c r="B26" s="303">
        <v>0.119</v>
      </c>
      <c r="C26" s="303">
        <v>1.272</v>
      </c>
      <c r="D26" s="303">
        <v>-1.456</v>
      </c>
      <c r="E26" s="303">
        <v>3.207</v>
      </c>
      <c r="F26" s="303">
        <v>-1.447</v>
      </c>
      <c r="G26" s="303">
        <v>0.426</v>
      </c>
      <c r="H26" s="303">
        <v>-0.02</v>
      </c>
      <c r="I26" s="303">
        <f>F26-G26+H26</f>
        <v>-1.893</v>
      </c>
    </row>
    <row r="27">
      <c r="A27" t="s" s="301">
        <v>1684</v>
      </c>
      <c r="B27" s="304">
        <v>-8.213</v>
      </c>
      <c r="C27" s="304">
        <v>-7.967</v>
      </c>
      <c r="D27" s="304">
        <v>-21.627</v>
      </c>
      <c r="E27" s="304">
        <v>424.378</v>
      </c>
      <c r="F27" s="304">
        <v>-38.807</v>
      </c>
      <c r="G27" s="304">
        <v>6.51</v>
      </c>
      <c r="H27" s="304">
        <v>-2.776</v>
      </c>
      <c r="I27" s="304">
        <f>F27-G27+H27</f>
        <v>-48.093</v>
      </c>
    </row>
    <row r="28">
      <c r="A28" s="302"/>
      <c r="B28" s="303"/>
      <c r="C28" s="303"/>
      <c r="D28" s="303"/>
      <c r="E28" s="303"/>
      <c r="F28" s="303"/>
      <c r="G28" s="303"/>
      <c r="H28" s="303"/>
      <c r="I28" s="303"/>
    </row>
    <row r="29">
      <c r="A29" t="s" s="301">
        <v>1530</v>
      </c>
    </row>
    <row r="30">
      <c r="A30" t="s" s="302">
        <v>1685</v>
      </c>
      <c r="B30" s="303">
        <v>36.695</v>
      </c>
      <c r="C30" s="303">
        <v>65.691</v>
      </c>
      <c r="D30" s="303">
        <v>104.447</v>
      </c>
      <c r="E30" s="303">
        <v>103.201</v>
      </c>
      <c r="F30" s="303">
        <v>127.896</v>
      </c>
      <c r="G30" s="303">
        <v>23.712</v>
      </c>
      <c r="H30" s="303">
        <v>28.575</v>
      </c>
      <c r="I30" s="303">
        <f>F30-G30+H30</f>
        <v>132.759</v>
      </c>
    </row>
    <row r="31">
      <c r="A31" t="s" s="302">
        <v>136</v>
      </c>
      <c r="B31" s="303">
        <v>3.493</v>
      </c>
      <c r="C31" s="303">
        <v>5.139</v>
      </c>
      <c r="D31" s="303">
        <v>9.929</v>
      </c>
      <c r="E31" s="303">
        <v>12.181</v>
      </c>
      <c r="F31" s="303">
        <v>85.541</v>
      </c>
      <c r="G31" s="303">
        <v>3.146</v>
      </c>
      <c r="H31" s="303">
        <v>29.557</v>
      </c>
      <c r="I31" s="303">
        <f>F31-G31+H31</f>
        <v>111.952</v>
      </c>
    </row>
    <row r="32">
      <c r="A32" t="s" s="301">
        <v>1686</v>
      </c>
      <c r="B32" s="304">
        <v>72.676</v>
      </c>
      <c r="C32" s="304">
        <v>81.136</v>
      </c>
      <c r="D32" s="304">
        <v>105.906</v>
      </c>
      <c r="E32" s="304">
        <v>145.674</v>
      </c>
      <c r="F32" s="304">
        <v>248.19</v>
      </c>
      <c r="G32" s="304">
        <v>45.07</v>
      </c>
      <c r="H32" s="304">
        <v>77.425</v>
      </c>
      <c r="I32" s="304">
        <f>F32-G32+H32</f>
        <v>280.545</v>
      </c>
    </row>
    <row r="33">
      <c r="A33" t="s" s="302">
        <v>1687</v>
      </c>
      <c r="B33" s="377">
        <f>IFERROR(B32/B6,0)</f>
        <v>0.2883716500940394</v>
      </c>
      <c r="C33" s="377">
        <f>IFERROR(C32/C6,0)</f>
        <v>0.2673996295637157</v>
      </c>
      <c r="D33" s="377">
        <f>IFERROR(D32/D6,0)</f>
        <v>0.28765672193129227</v>
      </c>
      <c r="E33" s="377">
        <f>IFERROR(E32/E6,0)</f>
        <v>0.322428137927371</v>
      </c>
      <c r="F33" s="377">
        <f>IFERROR(F32/F6,0)</f>
        <v>0.33935036807735636</v>
      </c>
      <c r="G33" s="377">
        <f>IFERROR(G32/G6,0)</f>
        <v>0.3552623281624417</v>
      </c>
      <c r="H33" s="377">
        <f>IFERROR(H32/H6,0)</f>
        <v>0.3499783029272967</v>
      </c>
      <c r="I33" s="377">
        <f>IFERROR(I32/I6,0)</f>
        <v>0.3397530918021828</v>
      </c>
    </row>
  </sheetData>
  <pageMargins left="0.7" right="0.7" top="0.75" bottom="0.75" header="0.3" footer="0.3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  <outlinePr summaryBelow="0" summaryRight="0"/>
  </sheetPr>
  <dimension ref="A2:G38"/>
  <sheetViews>
    <sheetView workbookViewId="0">
      <selection activeCell="A1" sqref="A1"/>
    </sheetView>
  </sheetViews>
  <sheetFormatPr defaultRowHeight="10.15"/>
  <cols>
    <col min="1" max="1" width="45.796875" customWidth="1" style="305"/>
    <col min="2" max="7" width="14.796875" customWidth="1" style="305"/>
    <col min="8" max="107" width="9.06640625" customWidth="0" style="305"/>
  </cols>
  <sheetData>
    <row r="2">
      <c r="A2" t="s" s="296">
        <v>1565</v>
      </c>
      <c r="B2" s="296"/>
      <c r="C2" s="296"/>
      <c r="D2" s="296"/>
      <c r="E2" s="296"/>
      <c r="F2" s="296"/>
      <c r="G2" s="296"/>
    </row>
    <row r="3" ht="24" customHeight="1">
      <c r="A3" t="s" s="297">
        <v>1688</v>
      </c>
      <c r="B3" s="306">
        <v>44561</v>
      </c>
      <c r="C3" s="306">
        <v>44926</v>
      </c>
      <c r="D3" s="306">
        <v>45291</v>
      </c>
      <c r="E3" s="306">
        <v>45657</v>
      </c>
      <c r="F3" s="306">
        <v>46022</v>
      </c>
      <c r="G3" s="306">
        <v>46112</v>
      </c>
    </row>
    <row r="4">
      <c r="A4" t="s" s="299">
        <v>1481</v>
      </c>
      <c r="B4" t="s" s="300">
        <v>1675</v>
      </c>
      <c r="C4" t="s" s="300">
        <v>1675</v>
      </c>
      <c r="D4" t="s" s="300">
        <v>1675</v>
      </c>
      <c r="E4" t="s" s="300">
        <v>1675</v>
      </c>
      <c r="F4" t="s" s="300">
        <v>1675</v>
      </c>
      <c r="G4" t="s" s="300">
        <v>1675</v>
      </c>
    </row>
    <row r="5">
      <c r="A5" t="s" s="301">
        <v>1567</v>
      </c>
    </row>
    <row r="6">
      <c r="A6" t="s" s="302">
        <v>95</v>
      </c>
      <c r="B6" s="303">
        <v>254.597</v>
      </c>
      <c r="C6" s="303">
        <v>250.724</v>
      </c>
      <c r="D6" s="303">
        <v>221.765</v>
      </c>
      <c r="E6" s="303">
        <v>177.35</v>
      </c>
      <c r="F6" s="303">
        <v>91.245</v>
      </c>
      <c r="G6" s="303">
        <v>81.507</v>
      </c>
    </row>
    <row r="7">
      <c r="A7" t="s" s="302">
        <v>96</v>
      </c>
      <c r="B7" s="303"/>
      <c r="C7" s="303">
        <v>4.89</v>
      </c>
      <c r="D7" s="303">
        <v>74.457</v>
      </c>
      <c r="E7" s="303">
        <v>78.139</v>
      </c>
      <c r="F7" s="303"/>
      <c r="G7" s="303"/>
    </row>
    <row r="8">
      <c r="A8" t="s" s="302">
        <v>97</v>
      </c>
      <c r="B8" s="303">
        <v>50.19</v>
      </c>
      <c r="C8" s="303">
        <v>72.575</v>
      </c>
      <c r="D8" s="303">
        <v>92.091</v>
      </c>
      <c r="E8" s="303">
        <v>106.151</v>
      </c>
      <c r="F8" s="303">
        <v>167.348</v>
      </c>
      <c r="G8" s="303">
        <v>169.63</v>
      </c>
    </row>
    <row r="9">
      <c r="A9" t="s" s="302">
        <v>98</v>
      </c>
      <c r="B9" s="303">
        <v>16.551</v>
      </c>
      <c r="C9" s="303">
        <v>28.157</v>
      </c>
      <c r="D9" s="303">
        <v>27.683</v>
      </c>
      <c r="E9" s="303">
        <v>23.006</v>
      </c>
      <c r="F9" s="303">
        <v>36.977</v>
      </c>
      <c r="G9" s="303">
        <v>43.107</v>
      </c>
    </row>
    <row r="10">
      <c r="A10" t="s" s="301">
        <v>1689</v>
      </c>
      <c r="B10" s="304">
        <v>321.338</v>
      </c>
      <c r="C10" s="304">
        <v>356.346</v>
      </c>
      <c r="D10" s="304">
        <v>415.996</v>
      </c>
      <c r="E10" s="304">
        <v>384.646</v>
      </c>
      <c r="F10" s="304">
        <v>295.57</v>
      </c>
      <c r="G10" s="304">
        <v>294.244</v>
      </c>
    </row>
    <row r="11">
      <c r="A11" s="302"/>
      <c r="B11" s="303"/>
      <c r="C11" s="303"/>
      <c r="D11" s="303"/>
      <c r="E11" s="303"/>
      <c r="F11" s="303"/>
      <c r="G11" s="303"/>
    </row>
    <row r="12">
      <c r="A12" t="s" s="302">
        <v>100</v>
      </c>
      <c r="B12" s="303">
        <v>10.738</v>
      </c>
      <c r="C12" s="303">
        <v>15.064</v>
      </c>
      <c r="D12" s="303">
        <v>15.349</v>
      </c>
      <c r="E12" s="303">
        <v>14.797</v>
      </c>
      <c r="F12" s="303">
        <v>26.607</v>
      </c>
      <c r="G12" s="303">
        <v>30.454</v>
      </c>
    </row>
    <row r="13">
      <c r="A13" t="s" s="302">
        <v>101</v>
      </c>
      <c r="B13" s="303"/>
      <c r="C13" s="303">
        <v>24.114</v>
      </c>
      <c r="D13" s="303">
        <v>22.554</v>
      </c>
      <c r="E13" s="303">
        <v>24.797</v>
      </c>
      <c r="F13" s="303">
        <v>34.3</v>
      </c>
      <c r="G13" s="303">
        <v>51.639</v>
      </c>
    </row>
    <row r="14">
      <c r="A14" t="s" s="302">
        <v>102</v>
      </c>
      <c r="B14" s="303">
        <v>5.687</v>
      </c>
      <c r="C14" s="303">
        <v>6.563</v>
      </c>
      <c r="D14" s="303">
        <v>6.439</v>
      </c>
      <c r="E14" s="303">
        <v>7.013</v>
      </c>
      <c r="F14" s="303">
        <v>13.017</v>
      </c>
      <c r="G14" s="303">
        <v>11.044</v>
      </c>
    </row>
    <row r="15">
      <c r="A15" t="s" s="302">
        <v>1690</v>
      </c>
      <c r="B15" s="303">
        <v>0.922</v>
      </c>
      <c r="C15" s="303">
        <v>0.728</v>
      </c>
      <c r="D15" s="303">
        <v>0.533</v>
      </c>
      <c r="E15" s="303">
        <v>0.339</v>
      </c>
      <c r="F15" s="303">
        <v>3.467</v>
      </c>
      <c r="G15" s="303">
        <v>3.268</v>
      </c>
    </row>
    <row r="16">
      <c r="A16" t="s" s="302">
        <v>104</v>
      </c>
      <c r="B16" s="303"/>
      <c r="C16" s="303"/>
      <c r="D16" s="303"/>
      <c r="E16" s="303">
        <v>602.5</v>
      </c>
      <c r="F16" s="303">
        <v>695.998</v>
      </c>
      <c r="G16" s="303">
        <v>702.3</v>
      </c>
    </row>
    <row r="17">
      <c r="A17" t="s" s="302">
        <v>105</v>
      </c>
      <c r="B17" s="303">
        <v>5.67</v>
      </c>
      <c r="C17" s="303">
        <v>5.88</v>
      </c>
      <c r="D17" s="303">
        <v>4.907</v>
      </c>
      <c r="E17" s="303">
        <v>3.34</v>
      </c>
      <c r="F17" s="303">
        <v>5.336</v>
      </c>
      <c r="G17" s="303">
        <v>4.816</v>
      </c>
    </row>
    <row r="18">
      <c r="A18" t="s" s="302">
        <v>106</v>
      </c>
      <c r="B18" s="303"/>
      <c r="C18" s="303">
        <v>29.456</v>
      </c>
      <c r="D18" s="303">
        <v>26.132</v>
      </c>
      <c r="E18" s="303">
        <v>30.868</v>
      </c>
      <c r="F18" s="303">
        <v>687.578</v>
      </c>
      <c r="G18" s="303">
        <v>660.65</v>
      </c>
    </row>
    <row r="19">
      <c r="A19" t="s" s="302">
        <v>107</v>
      </c>
      <c r="B19" s="303"/>
      <c r="C19" s="303">
        <v>43.791</v>
      </c>
      <c r="D19" s="303">
        <v>45.338</v>
      </c>
      <c r="E19" s="303">
        <v>70.971</v>
      </c>
      <c r="F19" s="303">
        <v>1270.056</v>
      </c>
      <c r="G19" s="303">
        <v>1268.44</v>
      </c>
    </row>
    <row r="20">
      <c r="A20" t="s" s="302">
        <v>108</v>
      </c>
      <c r="B20" s="303"/>
      <c r="C20" s="303"/>
      <c r="D20" s="303">
        <v>21.495</v>
      </c>
      <c r="E20" s="303">
        <v>30.301</v>
      </c>
      <c r="F20" s="303"/>
      <c r="G20" s="303"/>
    </row>
    <row r="21">
      <c r="A21" t="s" s="301">
        <v>1691</v>
      </c>
      <c r="B21" s="304">
        <v>344.355</v>
      </c>
      <c r="C21" s="304">
        <v>481.942</v>
      </c>
      <c r="D21" s="304">
        <v>558.743</v>
      </c>
      <c r="E21" s="304">
        <v>1169.572</v>
      </c>
      <c r="F21" s="304">
        <v>3031.929</v>
      </c>
      <c r="G21" s="304">
        <v>3026.855</v>
      </c>
    </row>
    <row r="22">
      <c r="A22" t="s" s="301">
        <v>1586</v>
      </c>
    </row>
    <row r="23">
      <c r="A23" t="s" s="302">
        <v>110</v>
      </c>
      <c r="B23" s="303">
        <v>1.416</v>
      </c>
      <c r="C23" s="303">
        <v>3.092</v>
      </c>
      <c r="D23" s="303">
        <v>3.062</v>
      </c>
      <c r="E23" s="303">
        <v>2.934</v>
      </c>
      <c r="F23" s="303">
        <v>4.096</v>
      </c>
      <c r="G23" s="303">
        <v>1.63</v>
      </c>
    </row>
    <row r="24">
      <c r="A24" t="s" s="302">
        <v>111</v>
      </c>
      <c r="B24" s="303">
        <v>27.032</v>
      </c>
      <c r="C24" s="303">
        <v>42.119</v>
      </c>
      <c r="D24" s="303">
        <v>49.535</v>
      </c>
      <c r="E24" s="303">
        <v>55.654</v>
      </c>
      <c r="F24" s="303">
        <v>112.249</v>
      </c>
      <c r="G24" s="303">
        <v>78.605</v>
      </c>
    </row>
    <row r="25">
      <c r="A25" t="s" s="302">
        <v>112</v>
      </c>
      <c r="B25" s="303"/>
      <c r="C25" s="303"/>
      <c r="D25" s="303"/>
      <c r="E25" s="303">
        <v>7.329</v>
      </c>
      <c r="F25" s="303">
        <v>21.86</v>
      </c>
      <c r="G25" s="303">
        <v>28.027</v>
      </c>
    </row>
    <row r="26">
      <c r="A26" t="s" s="302">
        <v>113</v>
      </c>
      <c r="B26" s="303">
        <v>2.75</v>
      </c>
      <c r="C26" s="303">
        <v>2.75</v>
      </c>
      <c r="D26" s="303">
        <v>2.75</v>
      </c>
      <c r="E26" s="303">
        <v>2.75</v>
      </c>
      <c r="F26" s="303">
        <v>8</v>
      </c>
      <c r="G26" s="303">
        <v>8</v>
      </c>
    </row>
    <row r="27">
      <c r="A27" t="s" s="302">
        <v>114</v>
      </c>
      <c r="B27" s="303"/>
      <c r="C27" s="303">
        <v>5.851</v>
      </c>
      <c r="D27" s="303">
        <v>6.551</v>
      </c>
      <c r="E27" s="303">
        <v>8.35</v>
      </c>
      <c r="F27" s="303">
        <v>15.138</v>
      </c>
      <c r="G27" s="303">
        <v>14.21</v>
      </c>
    </row>
    <row r="28">
      <c r="A28" t="s" s="302">
        <v>115</v>
      </c>
      <c r="B28" s="303"/>
      <c r="C28" s="303">
        <v>12.2</v>
      </c>
      <c r="D28" s="303">
        <v>18.894</v>
      </c>
      <c r="E28" s="303">
        <v>0.035</v>
      </c>
      <c r="F28" s="303"/>
      <c r="G28" s="303"/>
    </row>
    <row r="29">
      <c r="A29" t="s" s="301">
        <v>1692</v>
      </c>
      <c r="B29" s="304">
        <v>31.198</v>
      </c>
      <c r="C29" s="304">
        <v>66.012</v>
      </c>
      <c r="D29" s="304">
        <v>80.792</v>
      </c>
      <c r="E29" s="304">
        <v>77.052</v>
      </c>
      <c r="F29" s="304">
        <v>161.343</v>
      </c>
      <c r="G29" s="304">
        <v>130.472</v>
      </c>
    </row>
    <row r="30">
      <c r="A30" t="s" s="302">
        <v>1693</v>
      </c>
      <c r="B30" s="303">
        <v>51.157</v>
      </c>
      <c r="C30" s="303">
        <v>48.492</v>
      </c>
      <c r="D30" s="303">
        <v>45.828</v>
      </c>
      <c r="E30" s="303">
        <v>43.164</v>
      </c>
      <c r="F30" s="303">
        <v>814.643</v>
      </c>
      <c r="G30" s="303">
        <v>798.399</v>
      </c>
    </row>
    <row r="31">
      <c r="A31" t="s" s="302">
        <v>1694</v>
      </c>
      <c r="B31" s="303"/>
      <c r="C31" s="303">
        <v>19.505</v>
      </c>
      <c r="D31" s="303">
        <v>16.948</v>
      </c>
      <c r="E31" s="303">
        <v>17.655</v>
      </c>
      <c r="F31" s="303">
        <v>22.555</v>
      </c>
      <c r="G31" s="303">
        <v>40.228</v>
      </c>
    </row>
    <row r="32">
      <c r="A32" t="s" s="302">
        <v>119</v>
      </c>
      <c r="B32" s="303">
        <v>0.132</v>
      </c>
      <c r="C32" s="303">
        <v>9.547</v>
      </c>
      <c r="D32" s="303">
        <v>5.518</v>
      </c>
      <c r="E32" s="303">
        <v>1.47</v>
      </c>
      <c r="F32" s="303">
        <v>2.296</v>
      </c>
      <c r="G32" s="303">
        <v>3.194</v>
      </c>
    </row>
    <row r="33">
      <c r="A33" t="s" s="301">
        <v>1695</v>
      </c>
      <c r="B33" s="304">
        <v>82.487</v>
      </c>
      <c r="C33" s="304">
        <v>143.556</v>
      </c>
      <c r="D33" s="304">
        <v>149.086</v>
      </c>
      <c r="E33" s="304">
        <v>139.341</v>
      </c>
      <c r="F33" s="304">
        <v>1000.837</v>
      </c>
      <c r="G33" s="304">
        <v>972.293</v>
      </c>
    </row>
    <row r="34">
      <c r="A34" t="s" s="301">
        <v>1699</v>
      </c>
    </row>
    <row r="35">
      <c r="A35" t="s" s="302">
        <v>1696</v>
      </c>
      <c r="B35" s="303">
        <v>196.867</v>
      </c>
      <c r="C35" s="303">
        <v>269.521</v>
      </c>
      <c r="D35" s="303">
        <v>354.329</v>
      </c>
      <c r="E35" s="303">
        <v>1008.255</v>
      </c>
      <c r="F35" s="303">
        <v>2021.732</v>
      </c>
      <c r="G35" s="303">
        <v>2049.5</v>
      </c>
    </row>
    <row r="36">
      <c r="A36" t="s" s="302">
        <v>129</v>
      </c>
      <c r="B36" s="303">
        <v>65.001</v>
      </c>
      <c r="C36" s="303">
        <v>68.865</v>
      </c>
      <c r="D36" s="303">
        <v>55.328</v>
      </c>
      <c r="E36" s="303">
        <v>21.976</v>
      </c>
      <c r="F36" s="303">
        <v>9.36</v>
      </c>
      <c r="G36" s="303">
        <v>5.062</v>
      </c>
    </row>
    <row r="37">
      <c r="A37" t="s" s="301">
        <v>1697</v>
      </c>
      <c r="B37" s="304">
        <v>261.868</v>
      </c>
      <c r="C37" s="304">
        <v>338.386</v>
      </c>
      <c r="D37" s="304">
        <v>409.657</v>
      </c>
      <c r="E37" s="304">
        <v>1030.231</v>
      </c>
      <c r="F37" s="304">
        <v>2031.092</v>
      </c>
      <c r="G37" s="304">
        <v>2054.562</v>
      </c>
    </row>
    <row r="38">
      <c r="A38" t="s" s="301">
        <v>1698</v>
      </c>
      <c r="B38" s="304">
        <v>344.355</v>
      </c>
      <c r="C38" s="304">
        <v>481.942</v>
      </c>
      <c r="D38" s="304">
        <v>558.743</v>
      </c>
      <c r="E38" s="304">
        <v>1169.572</v>
      </c>
      <c r="F38" s="304">
        <v>3031.929</v>
      </c>
      <c r="G38" s="304">
        <v>3026.855</v>
      </c>
    </row>
  </sheetData>
  <pageMargins left="0.7" right="0.7" top="0.75" bottom="0.75" header="0.3" footer="0.3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  <outlinePr summaryBelow="0" summaryRight="0"/>
  </sheetPr>
  <dimension ref="A2:H57"/>
  <sheetViews>
    <sheetView workbookViewId="0">
      <selection activeCell="A1" sqref="A1"/>
    </sheetView>
  </sheetViews>
  <sheetFormatPr defaultRowHeight="10.15"/>
  <cols>
    <col min="1" max="1" width="45.796875" customWidth="1" style="305"/>
    <col min="2" max="6" width="14.796875" customWidth="1" style="305"/>
    <col min="7" max="108" width="9.06640625" customWidth="0" style="305"/>
  </cols>
  <sheetData>
    <row r="2">
      <c r="A2" t="s" s="296">
        <v>1625</v>
      </c>
      <c r="B2" s="296"/>
      <c r="C2" s="296"/>
      <c r="D2" s="296"/>
      <c r="E2" s="296"/>
      <c r="F2" s="296"/>
      <c r="G2" s="296"/>
      <c r="H2" s="296"/>
    </row>
    <row r="3" ht="24" customHeight="1">
      <c r="A3" t="s" s="297">
        <v>1667</v>
      </c>
      <c r="B3" t="s" s="298">
        <v>1668</v>
      </c>
      <c r="C3" t="s" s="298">
        <v>1628</v>
      </c>
      <c r="D3" t="s" s="298">
        <v>1669</v>
      </c>
      <c r="E3" t="s" s="298">
        <v>1670</v>
      </c>
      <c r="F3" t="s" s="298">
        <v>1671</v>
      </c>
      <c r="G3" t="s" s="298">
        <v>1672</v>
      </c>
      <c r="H3" t="s" s="298">
        <v>1673</v>
      </c>
    </row>
    <row r="4">
      <c r="A4" t="s" s="299">
        <v>1481</v>
      </c>
      <c r="B4" t="s" s="300">
        <v>1675</v>
      </c>
      <c r="C4" t="s" s="300">
        <v>1675</v>
      </c>
      <c r="D4" t="s" s="300">
        <v>1675</v>
      </c>
      <c r="E4" t="s" s="300">
        <v>1675</v>
      </c>
      <c r="F4" t="s" s="300">
        <v>1675</v>
      </c>
      <c r="G4" t="s" s="300">
        <v>1675</v>
      </c>
      <c r="H4" t="s" s="300">
        <v>1675</v>
      </c>
    </row>
    <row r="5">
      <c r="A5" t="s" s="301">
        <v>1700</v>
      </c>
    </row>
    <row r="6">
      <c r="A6" t="s" s="302">
        <v>135</v>
      </c>
      <c r="B6" s="303">
        <v>-8.094</v>
      </c>
      <c r="C6" s="303">
        <v>-6.695</v>
      </c>
      <c r="D6" s="303">
        <v>-23.083</v>
      </c>
      <c r="E6" s="303">
        <v>427.585</v>
      </c>
      <c r="F6" s="303">
        <v>-40.254</v>
      </c>
      <c r="G6" s="303">
        <v>6.936</v>
      </c>
      <c r="H6" s="303">
        <v>-2.796</v>
      </c>
    </row>
    <row r="7">
      <c r="A7" t="s" s="302">
        <v>136</v>
      </c>
      <c r="B7" s="303">
        <v>3.493</v>
      </c>
      <c r="C7" s="303">
        <v>5.139</v>
      </c>
      <c r="D7" s="303">
        <v>9.929</v>
      </c>
      <c r="E7" s="303">
        <v>12.181</v>
      </c>
      <c r="F7" s="303">
        <v>85.541</v>
      </c>
      <c r="G7" s="303">
        <v>3.146</v>
      </c>
      <c r="H7" s="303">
        <v>29.557</v>
      </c>
    </row>
    <row r="8">
      <c r="A8" t="s" s="302">
        <v>137</v>
      </c>
      <c r="B8" s="303"/>
      <c r="C8" s="303">
        <v>5.95</v>
      </c>
      <c r="D8" s="303">
        <v>7.619</v>
      </c>
      <c r="E8" s="303">
        <v>9.221</v>
      </c>
      <c r="F8" s="303">
        <v>16.682</v>
      </c>
      <c r="G8" s="303">
        <v>2.375</v>
      </c>
      <c r="H8" s="303">
        <v>4.123</v>
      </c>
    </row>
    <row r="9">
      <c r="A9" t="s" s="302">
        <v>138</v>
      </c>
      <c r="B9" s="303">
        <v>36.695</v>
      </c>
      <c r="C9" s="303">
        <v>65.691</v>
      </c>
      <c r="D9" s="303">
        <v>104.447</v>
      </c>
      <c r="E9" s="303">
        <v>103.201</v>
      </c>
      <c r="F9" s="303">
        <v>127.896</v>
      </c>
      <c r="G9" s="303">
        <v>23.712</v>
      </c>
      <c r="H9" s="303">
        <v>28.575</v>
      </c>
    </row>
    <row r="10">
      <c r="A10" t="s" s="302">
        <v>139</v>
      </c>
      <c r="B10" s="303">
        <v>3.385</v>
      </c>
      <c r="C10" s="303">
        <v>4.327</v>
      </c>
      <c r="D10" s="303">
        <v>4.763</v>
      </c>
      <c r="E10" s="303">
        <v>5.265</v>
      </c>
      <c r="F10" s="303">
        <v>11.487</v>
      </c>
      <c r="G10" s="303">
        <v>1.35</v>
      </c>
      <c r="H10" s="303">
        <v>3.121</v>
      </c>
    </row>
    <row r="11">
      <c r="A11" t="s" s="302">
        <v>140</v>
      </c>
      <c r="B11" s="303">
        <v>1.545</v>
      </c>
      <c r="C11" s="303">
        <v>0.279</v>
      </c>
      <c r="D11" s="303">
        <v>0.28</v>
      </c>
      <c r="E11" s="303">
        <v>0.28</v>
      </c>
      <c r="F11" s="303">
        <v>2.77</v>
      </c>
      <c r="G11" s="303">
        <v>0.069</v>
      </c>
      <c r="H11" s="303">
        <v>0.954</v>
      </c>
    </row>
    <row r="12">
      <c r="A12" t="s" s="302">
        <v>141</v>
      </c>
      <c r="B12" s="303">
        <v>10.303</v>
      </c>
      <c r="C12" s="303"/>
      <c r="D12" s="303"/>
      <c r="E12" s="303"/>
      <c r="F12" s="303">
        <v>0.419</v>
      </c>
      <c r="G12" s="303"/>
      <c r="H12" s="303"/>
    </row>
    <row r="13">
      <c r="A13" t="s" s="302">
        <v>142</v>
      </c>
      <c r="B13" s="303"/>
      <c r="C13" s="303"/>
      <c r="D13" s="303"/>
      <c r="E13" s="303"/>
      <c r="F13" s="303">
        <v>2.165</v>
      </c>
      <c r="G13" s="303"/>
      <c r="H13" s="303">
        <v>0.216</v>
      </c>
    </row>
    <row r="14">
      <c r="A14" t="s" s="302">
        <v>1701</v>
      </c>
      <c r="B14" s="303">
        <v>-0.675</v>
      </c>
      <c r="C14" s="303">
        <v>-0.803</v>
      </c>
      <c r="D14" s="303">
        <v>-1.665</v>
      </c>
      <c r="E14" s="303">
        <v>-460.032</v>
      </c>
      <c r="F14" s="303">
        <v>-12.607</v>
      </c>
      <c r="G14" s="303">
        <v>1.25</v>
      </c>
      <c r="H14" s="303">
        <v>-2</v>
      </c>
    </row>
    <row r="15">
      <c r="A15" t="s" s="302">
        <v>144</v>
      </c>
      <c r="B15" s="303"/>
      <c r="C15" s="303"/>
      <c r="D15" s="303">
        <v>-1.474</v>
      </c>
      <c r="E15" s="303">
        <v>-2.185</v>
      </c>
      <c r="F15" s="303">
        <v>-0.284</v>
      </c>
      <c r="G15" s="303">
        <v>-0.284</v>
      </c>
      <c r="H15" s="303"/>
    </row>
    <row r="16">
      <c r="A16" t="s" s="302">
        <v>145</v>
      </c>
      <c r="B16" s="303"/>
      <c r="C16" s="303"/>
      <c r="D16" s="303">
        <v>-0.089</v>
      </c>
      <c r="E16" s="303">
        <v>-0.035</v>
      </c>
      <c r="F16" s="303">
        <v>-0.112</v>
      </c>
      <c r="G16" s="303">
        <v>-0.112</v>
      </c>
      <c r="H16" s="303"/>
    </row>
    <row r="17">
      <c r="A17" t="s" s="302">
        <v>146</v>
      </c>
      <c r="B17" s="303"/>
      <c r="C17" s="303"/>
      <c r="D17" s="303"/>
      <c r="E17" s="303"/>
      <c r="F17" s="303"/>
      <c r="G17" s="303"/>
      <c r="H17" s="303">
        <v>-0.08</v>
      </c>
    </row>
    <row r="18">
      <c r="A18" t="s" s="302">
        <v>97</v>
      </c>
      <c r="B18" s="303">
        <v>-17.308</v>
      </c>
      <c r="C18" s="303">
        <v>-19.098</v>
      </c>
      <c r="D18" s="303">
        <v>-19.298</v>
      </c>
      <c r="E18" s="303">
        <v>-13.648</v>
      </c>
      <c r="F18" s="303">
        <v>-11.148</v>
      </c>
      <c r="G18" s="303">
        <v>-5.296</v>
      </c>
      <c r="H18" s="303">
        <v>-2.498</v>
      </c>
    </row>
    <row r="19">
      <c r="A19" t="s" s="302">
        <v>587</v>
      </c>
      <c r="B19" s="303">
        <v>-13.136</v>
      </c>
      <c r="C19" s="303">
        <v>-4.956</v>
      </c>
      <c r="D19" s="303">
        <v>1.151</v>
      </c>
      <c r="E19" s="303">
        <v>5.627</v>
      </c>
      <c r="F19" s="303">
        <v>-11.159</v>
      </c>
      <c r="G19" s="303">
        <v>-2.576</v>
      </c>
      <c r="H19" s="303">
        <v>-4.078</v>
      </c>
    </row>
    <row r="20">
      <c r="A20" t="s" s="302">
        <v>195</v>
      </c>
      <c r="B20" s="303">
        <v>-5.161</v>
      </c>
      <c r="C20" s="303">
        <v>-5.845</v>
      </c>
      <c r="D20" s="303">
        <v>-5.067</v>
      </c>
      <c r="E20" s="303">
        <v>-6.242</v>
      </c>
      <c r="F20" s="303">
        <v>-17.036</v>
      </c>
      <c r="G20" s="303">
        <v>0.007</v>
      </c>
      <c r="H20" s="303">
        <v>-3.006</v>
      </c>
    </row>
    <row r="21">
      <c r="A21" t="s" s="302">
        <v>110</v>
      </c>
      <c r="B21" s="303">
        <v>0.361</v>
      </c>
      <c r="C21" s="303">
        <v>1.609</v>
      </c>
      <c r="D21" s="303">
        <v>-0.115</v>
      </c>
      <c r="E21" s="303">
        <v>0.269</v>
      </c>
      <c r="F21" s="303">
        <v>-1.341</v>
      </c>
      <c r="G21" s="303">
        <v>-0.918</v>
      </c>
      <c r="H21" s="303">
        <v>-2.458</v>
      </c>
    </row>
    <row r="22">
      <c r="A22" t="s" s="302">
        <v>589</v>
      </c>
      <c r="B22" s="303">
        <v>-8.05</v>
      </c>
      <c r="C22" s="303">
        <v>0.207</v>
      </c>
      <c r="D22" s="303">
        <v>1.204</v>
      </c>
      <c r="E22" s="303">
        <v>11.693</v>
      </c>
      <c r="F22" s="303">
        <v>22.449</v>
      </c>
      <c r="G22" s="303">
        <v>-5.124</v>
      </c>
      <c r="H22" s="303">
        <v>-32.824</v>
      </c>
    </row>
    <row r="23">
      <c r="A23" t="s" s="302">
        <v>115</v>
      </c>
      <c r="B23" s="303"/>
      <c r="C23" s="303">
        <v>12.2</v>
      </c>
      <c r="D23" s="303">
        <v>6</v>
      </c>
      <c r="E23" s="303">
        <v>-18.859</v>
      </c>
      <c r="F23" s="303">
        <v>-0.035</v>
      </c>
      <c r="G23" s="303">
        <v>-0.035</v>
      </c>
      <c r="H23" s="303"/>
    </row>
    <row r="24">
      <c r="A24" t="s" s="302">
        <v>119</v>
      </c>
      <c r="B24" s="303"/>
      <c r="C24" s="303"/>
      <c r="D24" s="303"/>
      <c r="E24" s="303"/>
      <c r="F24" s="303">
        <v>0.463</v>
      </c>
      <c r="G24" s="303"/>
      <c r="H24" s="303">
        <v>0.869</v>
      </c>
    </row>
    <row r="25">
      <c r="A25" t="s" s="301">
        <v>1702</v>
      </c>
      <c r="B25" s="304">
        <v>3.358</v>
      </c>
      <c r="C25" s="304">
        <v>58.005</v>
      </c>
      <c r="D25" s="304">
        <v>84.602</v>
      </c>
      <c r="E25" s="304">
        <v>74.321</v>
      </c>
      <c r="F25" s="304">
        <v>175.896</v>
      </c>
      <c r="G25" s="304">
        <v>24.5</v>
      </c>
      <c r="H25" s="304">
        <v>17.675</v>
      </c>
    </row>
    <row r="26">
      <c r="A26" s="302"/>
      <c r="B26" s="303"/>
      <c r="C26" s="303"/>
      <c r="D26" s="303"/>
      <c r="E26" s="303"/>
      <c r="F26" s="303"/>
      <c r="G26" s="303"/>
      <c r="H26" s="303"/>
    </row>
    <row r="27">
      <c r="A27" t="s" s="301">
        <v>1703</v>
      </c>
    </row>
    <row r="28">
      <c r="A28" t="s" s="302">
        <v>155</v>
      </c>
      <c r="B28" s="303">
        <v>-5.025</v>
      </c>
      <c r="C28" s="303">
        <v>-7.758</v>
      </c>
      <c r="D28" s="303">
        <v>-5.624</v>
      </c>
      <c r="E28" s="303">
        <v>-5.259</v>
      </c>
      <c r="F28" s="303">
        <v>-11.554</v>
      </c>
      <c r="G28" s="303">
        <v>-1.468</v>
      </c>
      <c r="H28" s="303">
        <v>-6.44</v>
      </c>
    </row>
    <row r="29">
      <c r="A29" t="s" s="302">
        <v>156</v>
      </c>
      <c r="B29" s="303"/>
      <c r="C29" s="303"/>
      <c r="D29" s="303"/>
      <c r="E29" s="303"/>
      <c r="F29" s="303">
        <v>-10.239</v>
      </c>
      <c r="G29" s="303"/>
      <c r="H29" s="303"/>
    </row>
    <row r="30">
      <c r="A30" t="s" s="302">
        <v>1704</v>
      </c>
      <c r="B30" s="303"/>
      <c r="C30" s="303">
        <v>-3</v>
      </c>
      <c r="D30" s="303">
        <v>-3.004</v>
      </c>
      <c r="E30" s="303">
        <v>-3.009</v>
      </c>
      <c r="F30" s="303">
        <v>-4.686</v>
      </c>
      <c r="G30" s="303">
        <v>-4.686</v>
      </c>
      <c r="H30" s="303"/>
    </row>
    <row r="31">
      <c r="A31" t="s" s="302">
        <v>1705</v>
      </c>
      <c r="B31" s="303"/>
      <c r="C31" s="303"/>
      <c r="D31" s="303">
        <v>-124.178</v>
      </c>
      <c r="E31" s="303">
        <v>-114.572</v>
      </c>
      <c r="F31" s="303"/>
      <c r="G31" s="303"/>
      <c r="H31" s="303"/>
    </row>
    <row r="32">
      <c r="A32" t="s" s="302">
        <v>159</v>
      </c>
      <c r="B32" s="303"/>
      <c r="C32" s="303"/>
      <c r="D32" s="303">
        <v>5.95</v>
      </c>
      <c r="E32" s="303"/>
      <c r="F32" s="303">
        <v>89.479</v>
      </c>
      <c r="G32" s="303">
        <v>89.479</v>
      </c>
      <c r="H32" s="303"/>
    </row>
    <row r="33">
      <c r="A33" t="s" s="302">
        <v>160</v>
      </c>
      <c r="B33" s="303"/>
      <c r="C33" s="303"/>
      <c r="D33" s="303">
        <v>31.801</v>
      </c>
      <c r="E33" s="303">
        <v>107.417</v>
      </c>
      <c r="F33" s="303">
        <v>23.716</v>
      </c>
      <c r="G33" s="303">
        <v>16.2</v>
      </c>
      <c r="H33" s="303"/>
    </row>
    <row r="34">
      <c r="A34" t="s" s="302">
        <v>1706</v>
      </c>
      <c r="B34" s="303"/>
      <c r="C34" s="303">
        <v>-65.793</v>
      </c>
      <c r="D34" s="303"/>
      <c r="E34" s="303">
        <v>-40.121</v>
      </c>
      <c r="F34" s="303">
        <v>-1074.754</v>
      </c>
      <c r="G34" s="303"/>
      <c r="H34" s="303"/>
    </row>
    <row r="35">
      <c r="A35" t="s" s="302">
        <v>1707</v>
      </c>
      <c r="B35" s="303"/>
      <c r="C35" s="303"/>
      <c r="D35" s="303"/>
      <c r="E35" s="303">
        <v>-0.104</v>
      </c>
      <c r="F35" s="303">
        <v>-0.089</v>
      </c>
      <c r="G35" s="303"/>
      <c r="H35" s="303"/>
    </row>
    <row r="36">
      <c r="A36" t="s" s="301">
        <v>1708</v>
      </c>
      <c r="B36" s="304">
        <v>-5.025</v>
      </c>
      <c r="C36" s="304">
        <v>-76.551</v>
      </c>
      <c r="D36" s="304">
        <v>-95.055</v>
      </c>
      <c r="E36" s="304">
        <v>-55.648</v>
      </c>
      <c r="F36" s="304">
        <v>-988.127</v>
      </c>
      <c r="G36" s="304">
        <v>99.525</v>
      </c>
      <c r="H36" s="304">
        <v>-6.44</v>
      </c>
    </row>
    <row r="37">
      <c r="A37" s="302"/>
      <c r="B37" s="303"/>
      <c r="C37" s="303"/>
      <c r="D37" s="303"/>
      <c r="E37" s="303"/>
      <c r="F37" s="303"/>
      <c r="G37" s="303"/>
      <c r="H37" s="303"/>
    </row>
    <row r="38">
      <c r="A38" t="s" s="301">
        <v>1709</v>
      </c>
    </row>
    <row r="39">
      <c r="A39" t="s" s="302">
        <v>1710</v>
      </c>
      <c r="B39" s="303">
        <v>1.56</v>
      </c>
      <c r="C39" s="303"/>
      <c r="D39" s="303"/>
      <c r="E39" s="303"/>
      <c r="F39" s="303"/>
      <c r="G39" s="303"/>
      <c r="H39" s="303"/>
    </row>
    <row r="40">
      <c r="A40" t="s" s="302">
        <v>164</v>
      </c>
      <c r="B40" s="303">
        <v>2.83</v>
      </c>
      <c r="C40" s="303">
        <v>18.284</v>
      </c>
      <c r="D40" s="303">
        <v>4.738</v>
      </c>
      <c r="E40" s="303">
        <v>0.248</v>
      </c>
      <c r="F40" s="303">
        <v>0.168</v>
      </c>
      <c r="G40" s="303"/>
      <c r="H40" s="303"/>
    </row>
    <row r="41">
      <c r="A41" t="s" s="302">
        <v>165</v>
      </c>
      <c r="B41" s="303">
        <v>-2.185</v>
      </c>
      <c r="C41" s="303">
        <v>-3.189</v>
      </c>
      <c r="D41" s="303">
        <v>-20.784</v>
      </c>
      <c r="E41" s="303">
        <v>-55.301</v>
      </c>
      <c r="F41" s="303">
        <v>-33.749</v>
      </c>
      <c r="G41" s="303">
        <v>-24.402</v>
      </c>
      <c r="H41" s="303">
        <v>-2.248</v>
      </c>
    </row>
    <row r="42">
      <c r="A42" t="s" s="302">
        <v>1711</v>
      </c>
      <c r="B42" s="303">
        <v>-0.626</v>
      </c>
      <c r="C42" s="303"/>
      <c r="D42" s="303"/>
      <c r="E42" s="303"/>
      <c r="F42" s="303">
        <v>-18.054</v>
      </c>
      <c r="G42" s="303"/>
      <c r="H42" s="303"/>
    </row>
    <row r="43">
      <c r="A43" t="s" s="302">
        <v>603</v>
      </c>
      <c r="B43" s="303">
        <v>55</v>
      </c>
      <c r="C43" s="303"/>
      <c r="D43" s="303"/>
      <c r="E43" s="303"/>
      <c r="F43" s="303">
        <v>924.475</v>
      </c>
      <c r="G43" s="303"/>
      <c r="H43" s="303"/>
    </row>
    <row r="44">
      <c r="A44" t="s" s="302">
        <v>168</v>
      </c>
      <c r="B44" s="303">
        <v>-434.919</v>
      </c>
      <c r="C44" s="303">
        <v>-2.75</v>
      </c>
      <c r="D44" s="303">
        <v>-2.749</v>
      </c>
      <c r="E44" s="303">
        <v>-2.75</v>
      </c>
      <c r="F44" s="303">
        <v>-154.063</v>
      </c>
      <c r="G44" s="303">
        <v>-0.688</v>
      </c>
      <c r="H44" s="303">
        <v>-17</v>
      </c>
    </row>
    <row r="45">
      <c r="A45" t="s" s="302">
        <v>1712</v>
      </c>
      <c r="B45" s="303">
        <v>-2.029</v>
      </c>
      <c r="C45" s="303"/>
      <c r="D45" s="303"/>
      <c r="E45" s="303"/>
      <c r="F45" s="303"/>
      <c r="G45" s="303"/>
      <c r="H45" s="303"/>
    </row>
    <row r="46">
      <c r="A46" t="s" s="302">
        <v>169</v>
      </c>
      <c r="B46" s="303">
        <v>-1.4</v>
      </c>
      <c r="C46" s="303"/>
      <c r="D46" s="303"/>
      <c r="E46" s="303"/>
      <c r="F46" s="303"/>
      <c r="G46" s="303">
        <v>-2.159</v>
      </c>
      <c r="H46" s="303"/>
    </row>
    <row r="47">
      <c r="A47" t="s" s="302">
        <v>1713</v>
      </c>
      <c r="B47" s="303">
        <v>582.188</v>
      </c>
      <c r="C47" s="303"/>
      <c r="D47" s="303"/>
      <c r="E47" s="303"/>
      <c r="F47" s="303"/>
      <c r="G47" s="303"/>
      <c r="H47" s="303"/>
    </row>
    <row r="48">
      <c r="A48" t="s" s="302">
        <v>1714</v>
      </c>
      <c r="B48" s="303">
        <v>-5.131</v>
      </c>
      <c r="C48" s="303">
        <v>-0.214</v>
      </c>
      <c r="D48" s="303"/>
      <c r="E48" s="303"/>
      <c r="F48" s="303"/>
      <c r="G48" s="303"/>
      <c r="H48" s="303"/>
    </row>
    <row r="49">
      <c r="A49" t="s" s="302">
        <v>170</v>
      </c>
      <c r="B49" s="303"/>
      <c r="C49" s="303">
        <v>4.215</v>
      </c>
      <c r="D49" s="303">
        <v>4.588</v>
      </c>
      <c r="E49" s="303">
        <v>4.693</v>
      </c>
      <c r="F49" s="303">
        <v>6.636</v>
      </c>
      <c r="G49" s="303"/>
      <c r="H49" s="303"/>
    </row>
    <row r="50">
      <c r="A50" t="s" s="302">
        <v>171</v>
      </c>
      <c r="B50" s="303"/>
      <c r="C50" s="303">
        <v>-0.117</v>
      </c>
      <c r="D50" s="303">
        <v>-2.184</v>
      </c>
      <c r="E50" s="303">
        <v>-3.873</v>
      </c>
      <c r="F50" s="303"/>
      <c r="G50" s="303"/>
      <c r="H50" s="303"/>
    </row>
    <row r="51">
      <c r="A51" t="s" s="302">
        <v>172</v>
      </c>
      <c r="B51" s="303"/>
      <c r="C51" s="303"/>
      <c r="D51" s="303">
        <v>-2.9</v>
      </c>
      <c r="E51" s="303">
        <v>-4.685</v>
      </c>
      <c r="F51" s="303"/>
      <c r="G51" s="303"/>
      <c r="H51" s="303"/>
    </row>
    <row r="52">
      <c r="A52" t="s" s="301">
        <v>1715</v>
      </c>
      <c r="B52" s="304">
        <v>195.288</v>
      </c>
      <c r="C52" s="304">
        <v>16.229</v>
      </c>
      <c r="D52" s="304">
        <v>-19.291</v>
      </c>
      <c r="E52" s="304">
        <v>-61.668</v>
      </c>
      <c r="F52" s="304">
        <v>725.413</v>
      </c>
      <c r="G52" s="304">
        <v>-27.249</v>
      </c>
      <c r="H52" s="304">
        <v>-19.248</v>
      </c>
    </row>
    <row r="53">
      <c r="A53" s="302"/>
      <c r="B53" s="303"/>
      <c r="C53" s="303"/>
      <c r="D53" s="303"/>
      <c r="E53" s="303"/>
      <c r="F53" s="303"/>
      <c r="G53" s="303"/>
      <c r="H53" s="303"/>
    </row>
    <row r="54">
      <c r="A54" t="s" s="302">
        <v>1716</v>
      </c>
      <c r="B54" s="303">
        <v>-0.112</v>
      </c>
      <c r="C54" s="303">
        <v>-1.556</v>
      </c>
      <c r="D54" s="303">
        <v>0.785</v>
      </c>
      <c r="E54" s="303">
        <v>-1.42</v>
      </c>
      <c r="F54" s="303">
        <v>0.713</v>
      </c>
      <c r="G54" s="303">
        <v>1.033</v>
      </c>
      <c r="H54" s="303">
        <v>-1.725</v>
      </c>
    </row>
    <row r="55">
      <c r="A55" t="s" s="301">
        <v>1717</v>
      </c>
      <c r="B55" s="304">
        <v>193.509</v>
      </c>
      <c r="C55" s="304">
        <v>-3.873</v>
      </c>
      <c r="D55" s="304">
        <v>-28.959</v>
      </c>
      <c r="E55" s="304">
        <v>-44.415</v>
      </c>
      <c r="F55" s="304">
        <v>-86.105</v>
      </c>
      <c r="G55" s="304">
        <v>97.809</v>
      </c>
      <c r="H55" s="304">
        <v>-9.738</v>
      </c>
    </row>
    <row r="56">
      <c r="A56" t="s" s="302">
        <v>176</v>
      </c>
      <c r="B56" s="303">
        <v>61.088</v>
      </c>
      <c r="C56" s="303">
        <v>254.597</v>
      </c>
      <c r="D56" s="303">
        <v>250.724</v>
      </c>
      <c r="E56" s="303">
        <v>221.765</v>
      </c>
      <c r="F56" s="303">
        <v>177.35</v>
      </c>
      <c r="G56" s="303">
        <v>177.35</v>
      </c>
      <c r="H56" s="303">
        <v>91.245</v>
      </c>
    </row>
    <row r="57">
      <c r="A57" t="s" s="301">
        <v>1718</v>
      </c>
      <c r="B57" s="304">
        <v>254.597</v>
      </c>
      <c r="C57" s="304">
        <v>250.724</v>
      </c>
      <c r="D57" s="304">
        <v>221.765</v>
      </c>
      <c r="E57" s="304">
        <v>177.35</v>
      </c>
      <c r="F57" s="304">
        <v>91.245</v>
      </c>
      <c r="G57" s="304">
        <v>275.159</v>
      </c>
      <c r="H57" s="304">
        <v>81.507</v>
      </c>
    </row>
    <row r="61" ht="60.75"/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6b28e924aae8343a0a075bad0c8f1f0a12a97116f17acc73009067886ba1004e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2026-10-20T18:40:25Z</dcterms:created>
  <dcterms:modified xsi:type="dcterms:W3CDTF">2026-10-20T18:40:26Z</dcterms:modified>
  <cp:category/>
  <cp:contentStatus/>
</cp:coreProperties>
</file>