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xl/comments2.xml" ContentType="application/vnd.openxmlformats-officedocument.spreadsheetml.comments+xml"/>
  <Override PartName="/xl/comments6.xml" ContentType="application/vnd.openxmlformats-officedocument.spreadsheetml.comment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0"/>
  </bookViews>
  <sheets>
    <sheet name="Term Sheet" sheetId="1" r:id="rId1"/>
    <sheet name="Debt Schedule" sheetId="2" r:id="rId2"/>
    <sheet name="Credit Stats" sheetId="3" r:id="rId3"/>
    <sheet name="Scenarios" sheetId="4" r:id="rId4"/>
    <sheet name="Debt Output" sheetId="5" r:id="rId5"/>
    <sheet name="Forward Curve" sheetId="6" r:id="rId6"/>
    <sheet name="Rate Cases" sheetId="7" r:id="rId7"/>
    <sheet name="Curve vs Flat" sheetId="8" r:id="rId8"/>
    <sheet name="Hedges and Shocks" sheetId="9" r:id="rId9"/>
  </sheets>
  <definedNames>
    <definedName name="_xlnm.Print_Area" localSheetId="4">'Debt Output'!$B$2:$I$75</definedName>
  </definedNames>
  <calcPr iterate="1" iterateCount="200" iterateDelta="0.0001"/>
  <extLst>
    <ext xmlns:xccaches="urn:twentyai:ccalc:caches" uri="{3C5F2E7A-9B41-4D6E-A8C2-19409CCA1C01}">
      <xccaches:writer/>
    </ext>
  </extLst>
</workbook>
</file>

<file path=xl/comments1.xml><?xml version="1.0" encoding="utf-8"?>
<comments xmlns="http://schemas.openxmlformats.org/spreadsheetml/2006/main">
  <authors>
    <author>Compound</author>
  </authors>
  <commentList>
    <comment ref="C10" authorId="0">
      <text>
        <t xml:space="preserve">CWAN LBO Model (Compound, 2026-10-20).xlsx (Model G6:I6)</t>
      </text>
    </comment>
    <comment ref="C100" authorId="0">
      <text>
        <t xml:space="preserve">CWAN LBO Model (Compound, 2026-10-20).xlsx (Model G48)</t>
      </text>
    </comment>
    <comment ref="C11" authorId="0">
      <text>
        <t xml:space="preserve">CWAN LBO Model (Compound, 2026-10-20).xlsx (Model C26:I33)</t>
      </text>
    </comment>
    <comment ref="C12" authorId="0">
      <text>
        <t xml:space="preserve">CWAN LBO Model (Compound, 2026-10-20).xlsx (Model Q18:U18)</t>
      </text>
    </comment>
    <comment ref="C13" authorId="0">
      <text>
        <t xml:space="preserve">CWAN LBO Model (Compound, 2026-10-20).xlsx (Model E34)</t>
      </text>
    </comment>
    <comment ref="C17" authorId="0">
      <text>
        <t xml:space="preserve">CWAN Amended and Restated Debt Commitment Letter and Term Sheet (2026-01-21).pdf (page 28)</t>
      </text>
    </comment>
    <comment ref="C18" authorId="0">
      <text>
        <t xml:space="preserve">CWAN Amended and Restated Debt Commitment Letter and Term Sheet (2026-01-21).pdf (page 43)</t>
      </text>
    </comment>
    <comment ref="C19" authorId="0">
      <text>
        <t xml:space="preserve">CWAN Amended and Restated Debt Commitment Letter and Term Sheet (2026-01-21).pdf (page 43)</t>
      </text>
    </comment>
    <comment ref="C20" authorId="0">
      <text>
        <t xml:space="preserve">Cited for C20:C21
CWAN Amended and Restated Debt Commitment Letter and Term Sheet (2026-01-21).pdf (page 43)</t>
      </text>
    </comment>
    <comment ref="C23" authorId="0">
      <text>
        <t xml:space="preserve">CWAN Amended and Restated Debt Commitment Letter and Term Sheet (2026-01-21).pdf (page 43)</t>
      </text>
    </comment>
    <comment ref="C24" authorId="0">
      <text>
        <t xml:space="preserve">CWAN DEFM14A Definitive Merger Proxy (filed 2026-04-08).pdf (page 110)</t>
      </text>
    </comment>
    <comment ref="C25" authorId="0">
      <text>
        <t xml:space="preserve">CWAN Amended and Restated Debt Commitment Letter and Term Sheet (2026-01-21).pdf (page 43)</t>
      </text>
    </comment>
    <comment ref="C26" authorId="0">
      <text>
        <t xml:space="preserve">CWAN Amended and Restated Debt Commitment Letter and Term Sheet (2026-01-21).pdf (page 43)</t>
      </text>
    </comment>
    <comment ref="C28" authorId="0">
      <text>
        <t xml:space="preserve">CWAN LBO Model (Compound, 2026-10-20).xlsx (Model G19:I22)</t>
      </text>
    </comment>
    <comment ref="C34" authorId="0">
      <text>
        <t xml:space="preserve">CWAN Amended and Restated Debt Commitment Letter and Term Sheet (2026-01-21).pdf (page 37)</t>
      </text>
    </comment>
    <comment ref="C36" authorId="0">
      <text>
        <t xml:space="preserve">CWAN DEFM14A Definitive Merger Proxy (filed 2026-04-08).pdf (page 110)</t>
      </text>
    </comment>
    <comment ref="C37" authorId="0">
      <text>
        <t xml:space="preserve">CWAN Amended and Restated Debt Commitment Letter and Term Sheet (2026-01-21).pdf (page 38)</t>
      </text>
    </comment>
    <comment ref="C40" authorId="0">
      <text>
        <t xml:space="preserve">Cited for C40:C43
CWAN Amended and Restated Debt Commitment Letter and Term Sheet (2026-01-21).pdf (page 38)</t>
      </text>
    </comment>
    <comment ref="C44" authorId="0">
      <text>
        <t xml:space="preserve">Cited for C44:C45
CWAN Amended and Restated Debt Commitment Letter and Term Sheet (2026-01-21).pdf (page 38)</t>
      </text>
    </comment>
    <comment ref="C47" authorId="0">
      <text>
        <t xml:space="preserve">Cited for C47:C48
CWAN LBO Model (Compound, 2026-10-20).xlsx (Model K9:M10)</t>
      </text>
    </comment>
    <comment ref="C54" authorId="0">
      <text>
        <t xml:space="preserve">CWAN Amended and Restated Debt Commitment Letter and Term Sheet (2026-01-21).pdf (page 28)</t>
      </text>
    </comment>
    <comment ref="C55" authorId="0">
      <text>
        <t xml:space="preserve">CWAN LBO Model (Compound, 2026-10-20).xlsx (Model C13:M17)</t>
      </text>
    </comment>
    <comment ref="C56" authorId="0">
      <text>
        <t xml:space="preserve">CWAN DEFM14A Definitive Merger Proxy (filed 2026-04-08).pdf (page 110)</t>
      </text>
    </comment>
    <comment ref="C58" authorId="0">
      <text>
        <t xml:space="preserve">CWAN Amended and Restated Debt Commitment Letter and Term Sheet (2026-01-21).pdf (page 31)</t>
      </text>
    </comment>
    <comment ref="C59" authorId="0">
      <text>
        <t xml:space="preserve">CWAN Amended and Restated Debt Commitment Letter and Term Sheet (2026-01-21).pdf (page 31)</t>
      </text>
    </comment>
    <comment ref="C61" authorId="0">
      <text>
        <t xml:space="preserve">Cited for C61:C63
CWAN Amended and Restated Debt Commitment Letter and Term Sheet (2026-01-21).pdf (page 44)</t>
      </text>
    </comment>
    <comment ref="C66" authorId="0">
      <text>
        <t xml:space="preserve">CWAN Amended and Restated Debt Commitment Letter and Term Sheet (2026-01-21).pdf (page 28)</t>
      </text>
    </comment>
    <comment ref="C67" authorId="0">
      <text>
        <t xml:space="preserve">CWAN DEFM14A Definitive Merger Proxy (filed 2026-04-08).pdf (page 107)</t>
      </text>
    </comment>
    <comment ref="C68" authorId="0">
      <text>
        <t xml:space="preserve">CWAN LBO Model (Compound, 2026-10-20).xlsx (Model C13:M17)</t>
      </text>
    </comment>
    <comment ref="C69" authorId="0">
      <text>
        <t xml:space="preserve">CWAN Amended and Restated Debt Commitment Letter and Term Sheet (2026-01-21).pdf (page 37)</t>
      </text>
    </comment>
    <comment ref="C7" authorId="0">
      <text>
        <t xml:space="preserve">CWAN 8-K Merger Closing (2026-06-25).pdf (page 2)</t>
      </text>
    </comment>
    <comment ref="C71" authorId="0">
      <text>
        <t xml:space="preserve">CWAN Amended and Restated Debt Commitment Letter and Term Sheet (2026-01-21).pdf (page 44)</t>
      </text>
    </comment>
    <comment ref="C72" authorId="0">
      <text>
        <t xml:space="preserve">Cited for C72:C74
CWAN Amended and Restated Debt Commitment Letter and Term Sheet (2026-01-21).pdf (page 44)</t>
      </text>
    </comment>
    <comment ref="C77" authorId="0">
      <text>
        <t xml:space="preserve">CWAN Amended and Restated Debt Commitment Letter and Term Sheet (2026-01-21).pdf (page 41)</t>
      </text>
    </comment>
    <comment ref="C78" authorId="0">
      <text>
        <t xml:space="preserve">Cited for C78:C79
CWAN Amended and Restated Debt Commitment Letter and Term Sheet (2026-01-21).pdf (page 41)</t>
      </text>
    </comment>
    <comment ref="C85" authorId="0">
      <text>
        <t xml:space="preserve">CWAN Amended and Restated Debt Commitment Letter and Term Sheet (2026-01-21).pdf (page 32)</t>
      </text>
    </comment>
    <comment ref="C86" authorId="0">
      <text>
        <t xml:space="preserve">CWAN Amended and Restated Debt Commitment Letter and Term Sheet (2026-01-21).pdf (page 33)</t>
      </text>
    </comment>
    <comment ref="C87" authorId="0">
      <text>
        <t xml:space="preserve">Cited for C87:C88
CWAN Amended and Restated Debt Commitment Letter and Term Sheet (2026-01-21).pdf (page 40)</t>
      </text>
    </comment>
    <comment ref="C89" authorId="0">
      <text>
        <t xml:space="preserve">CWAN Amended and Restated Debt Commitment Letter and Term Sheet (2026-01-21).pdf (page 27)</t>
      </text>
    </comment>
    <comment ref="C9" authorId="0">
      <text>
        <t xml:space="preserve">CWAN LBO Model (Compound, 2026-10-20).xlsx (Model C19:E21)</t>
      </text>
    </comment>
    <comment ref="C90" authorId="0">
      <text>
        <t xml:space="preserve">CWAN Amended and Restated Debt Commitment Letter and Term Sheet (2026-01-21).pdf (page 39)</t>
      </text>
    </comment>
    <comment ref="C91" authorId="0">
      <text>
        <t xml:space="preserve">CWAN Amended and Restated Debt Commitment Letter and Term Sheet (2026-01-21).pdf (page 34)</t>
      </text>
    </comment>
    <comment ref="C94" authorId="0">
      <text>
        <t xml:space="preserve">Cited for C94:C97
CWAN LBO Model (Compound, 2026-10-20).xlsx (Model G7:I10)</t>
      </text>
    </comment>
  </commentList>
</comments>
</file>

<file path=xl/comments2.xml><?xml version="1.0" encoding="utf-8"?>
<comments xmlns="http://schemas.openxmlformats.org/spreadsheetml/2006/main">
  <authors>
    <author>Compound</author>
  </authors>
  <commentList>
    <comment ref="C123" authorId="0">
      <text>
        <t xml:space="preserve">CWAN LBO Model (Compound, 2026-10-20).xlsx (Model U26)</t>
      </text>
    </comment>
    <comment ref="H136" authorId="0">
      <text>
        <t xml:space="preserve">CWAN LBO Model (Compound, 2026-10-20).xlsx (Model N162)</t>
      </text>
    </comment>
    <comment ref="H139" authorId="0">
      <text>
        <t xml:space="preserve">CWAN LBO Model (Compound, 2026-10-20).xlsx (Model I204)</t>
      </text>
    </comment>
    <comment ref="I10" authorId="0">
      <text>
        <t xml:space="preserve">Cited for D10:I10
CWAN LBO Model (Compound, 2026-10-20).xlsx (Driver Assumptions C117:F122)</t>
      </text>
    </comment>
    <comment ref="I11" authorId="0">
      <text>
        <t xml:space="preserve">Cited for D11:I11
CWAN LBO Model (Compound, 2026-10-20).xlsx (Driver Assumptions C129:F134)</t>
      </text>
    </comment>
    <comment ref="I12" authorId="0">
      <text>
        <t xml:space="preserve">Cited for D12:I12
CWAN LBO Model (Compound, 2026-10-20).xlsx (Driver Assumptions C20:K24)</t>
      </text>
    </comment>
    <comment ref="I13" authorId="0">
      <text>
        <t xml:space="preserve">Cited for D13:I13
CWAN LBO Model (Compound, 2026-10-20).xlsx (Driver Assumptions C26:K30)</t>
      </text>
    </comment>
    <comment ref="I14" authorId="0">
      <text>
        <t xml:space="preserve">Cited for D14:I14
CWAN LBO Model (Compound, 2026-10-20).xlsx (Driver Assumptions C38:K42)</t>
      </text>
    </comment>
    <comment ref="I15" authorId="0">
      <text>
        <t xml:space="preserve">Cited for D15:I15
CWAN LBO Model (Compound, 2026-10-20).xlsx (Driver Assumptions C44:K48)</t>
      </text>
    </comment>
    <comment ref="I16" authorId="0">
      <text>
        <t xml:space="preserve">Cited for D16:I16
CWAN LBO Model (Compound, 2026-10-20).xlsx (Driver Assumptions E141:F146)</t>
      </text>
    </comment>
    <comment ref="K123" authorId="0">
      <text>
        <t xml:space="preserve">CWAN LBO Model (Compound, 2026-10-20).xlsx (Driver Assumptions E223)</t>
      </text>
    </comment>
    <comment ref="P136" authorId="0">
      <text>
        <t xml:space="preserve">CWAN LBO Model (Compound, 2026-10-20).xlsx (Driver Assumptions E163:E221)</t>
      </text>
    </comment>
    <comment ref="P139" authorId="0">
      <text>
        <t xml:space="preserve">CWAN LBO Model (Compound, 2026-10-20).xlsx (Driver Assumptions E163:E221)</t>
      </text>
    </comment>
    <comment ref="Q10" authorId="0">
      <text>
        <t xml:space="preserve">Cited for L10:Q10
CWAN LBO Model (Compound, 2026-10-20).xlsx (Driver Assumptions C117:F122)</t>
      </text>
    </comment>
    <comment ref="Q11" authorId="0">
      <text>
        <t xml:space="preserve">Cited for L11:Q11
CWAN LBO Model (Compound, 2026-10-20).xlsx (Driver Assumptions C129:F134)</t>
      </text>
    </comment>
    <comment ref="Q12" authorId="0">
      <text>
        <t xml:space="preserve">Cited for L12:Q12
CWAN LBO Model (Compound, 2026-10-20).xlsx (Driver Assumptions C20:K24)</t>
      </text>
    </comment>
    <comment ref="Q13" authorId="0">
      <text>
        <t xml:space="preserve">Cited for L13:Q13
CWAN LBO Model (Compound, 2026-10-20).xlsx (Driver Assumptions C26:K30)</t>
      </text>
    </comment>
    <comment ref="Q14" authorId="0">
      <text>
        <t xml:space="preserve">Cited for L14:Q14
CWAN LBO Model (Compound, 2026-10-20).xlsx (Driver Assumptions C38:K42)</t>
      </text>
    </comment>
    <comment ref="Q15" authorId="0">
      <text>
        <t xml:space="preserve">Cited for L15:Q15
CWAN LBO Model (Compound, 2026-10-20).xlsx (Driver Assumptions C44:K48)</t>
      </text>
    </comment>
    <comment ref="Q16" authorId="0">
      <text>
        <t xml:space="preserve">Cited for L16:Q16
CWAN LBO Model (Compound, 2026-10-20).xlsx (Driver Assumptions E141:F146)</t>
      </text>
    </comment>
    <comment ref="S123" authorId="0">
      <text>
        <t xml:space="preserve">CWAN LBO Sensitivity and Scenario Analysis (Compound, 2026-10-21).xlsx (Sensitivities O92)</t>
      </text>
    </comment>
    <comment ref="S144" authorId="0">
      <text>
        <t xml:space="preserve">CWAN LBO Sensitivity and Scenario Analysis (Compound, 2026-10-21).xlsx (Model C40:I40)</t>
      </text>
    </comment>
    <comment ref="X136" authorId="0">
      <text>
        <t xml:space="preserve">CWAN LBO Sensitivity and Scenario Analysis (Compound, 2026-10-21).xlsx (Sensitivities M92)</t>
      </text>
    </comment>
    <comment ref="X139" authorId="0">
      <text>
        <t xml:space="preserve">CWAN LBO Sensitivity and Scenario Analysis (Compound, 2026-10-21).xlsx (Sensitivities I92)</t>
      </text>
    </comment>
    <comment ref="Y12" authorId="0">
      <text>
        <t xml:space="preserve">Cited for T12:Y12
CWAN LBO Sensitivity and Scenario Analysis (Compound, 2026-10-21).xlsx (Driver Assumptions C21:K21)</t>
      </text>
    </comment>
    <comment ref="Y13" authorId="0">
      <text>
        <t xml:space="preserve">Cited for T13:Y13
CWAN LBO Sensitivity and Scenario Analysis (Compound, 2026-10-21).xlsx (Driver Assumptions C27:K27)</t>
      </text>
    </comment>
    <comment ref="Y14" authorId="0">
      <text>
        <t xml:space="preserve">Cited for T14:Y14
CWAN LBO Sensitivity and Scenario Analysis (Compound, 2026-10-21).xlsx (Driver Assumptions C39:K39)</t>
      </text>
    </comment>
    <comment ref="Y145" authorId="0">
      <text>
        <t xml:space="preserve">Cited for T145:Y145
CWAN LBO Sensitivity and Scenario Analysis (Compound, 2026-10-21).xlsx (Driver Assumptions C9:K9)</t>
      </text>
    </comment>
    <comment ref="Y146" authorId="0">
      <text>
        <t xml:space="preserve">Cited for T146:Y146
CWAN LBO Sensitivity and Scenario Analysis (Compound, 2026-10-21).xlsx (Driver Assumptions C15:K15)</t>
      </text>
    </comment>
    <comment ref="Y147" authorId="0">
      <text>
        <t xml:space="preserve">Cited for T147:Y147
CWAN LBO Sensitivity and Scenario Analysis (Compound, 2026-10-21).xlsx (Driver Assumptions C33:K33)</t>
      </text>
    </comment>
    <comment ref="Y15" authorId="0">
      <text>
        <t xml:space="preserve">Cited for T15:Y15
CWAN LBO Sensitivity and Scenario Analysis (Compound, 2026-10-21).xlsx (Driver Assumptions C45:K45)</t>
      </text>
    </comment>
  </commentList>
</comments>
</file>

<file path=xl/comments6.xml><?xml version="1.0" encoding="utf-8"?>
<comments xmlns="http://schemas.openxmlformats.org/spreadsheetml/2006/main">
  <authors>
    <author>Compound</author>
  </authors>
  <commentList>
    <comment ref="B30" authorId="0">
      <text>
        <t xml:space="preserve">Market-implied SOFR 1M and 3M forward rates (not CME Term SOFR), 3M rate from 2026-10-29 to 2027-01-29, as of the 2026-10-27 close, computed from 268 SOFR swap trades of 2026-10-27 and the SOFR fixing of 2026-10-27 (3.95%): 4.0533 (data provided by Compound, computed from SOFR published by the Federal Reserve Bank of New York and from SOFR swap trades in DTCC public swap data)</t>
      </text>
    </comment>
    <comment ref="B31" authorId="0">
      <text>
        <t xml:space="preserve">Market-implied SOFR 1M and 3M forward rates (not CME Term SOFR), 3M rate from 2027-01-29 to 2027-04-29, as of the 2026-10-27 close, computed from 268 SOFR swap trades of 2026-10-27 and the SOFR fixing of 2026-10-27 (3.95%): 4.3319 (data provided by Compound, computed from SOFR published by the Federal Reserve Bank of New York and from SOFR swap trades in DTCC public swap data)</t>
      </text>
    </comment>
    <comment ref="B32" authorId="0">
      <text>
        <t xml:space="preserve">Market-implied SOFR 1M and 3M forward rates (not CME Term SOFR), 3M rate from 2027-04-29 to 2027-07-29, as of the 2026-10-27 close, computed from 268 SOFR swap trades of 2026-10-27 and the SOFR fixing of 2026-10-27 (3.95%): 4.5542 (data provided by Compound, computed from SOFR published by the Federal Reserve Bank of New York and from SOFR swap trades in DTCC public swap data)</t>
      </text>
    </comment>
    <comment ref="B33" authorId="0">
      <text>
        <t xml:space="preserve">Market-implied SOFR 1M and 3M forward rates (not CME Term SOFR), 3M rate from 2027-07-29 to 2027-10-29, as of the 2026-10-27 close, computed from 268 SOFR swap trades of 2026-10-27 and the SOFR fixing of 2026-10-27 (3.95%): 4.664 (data provided by Compound, computed from SOFR published by the Federal Reserve Bank of New York and from SOFR swap trades in DTCC public swap data)</t>
      </text>
    </comment>
    <comment ref="B34" authorId="0">
      <text>
        <t xml:space="preserve">Market-implied SOFR 1M and 3M forward rates (not CME Term SOFR), 3M rate from 2027-10-29 to 2028-01-31, as of the 2026-10-27 close, computed from 268 SOFR swap trades of 2026-10-27 and the SOFR fixing of 2026-10-27 (3.95%): 4.6592 (data provided by Compound, computed from SOFR published by the Federal Reserve Bank of New York and from SOFR swap trades in DTCC public swap data)</t>
      </text>
    </comment>
    <comment ref="B35" authorId="0">
      <text>
        <t xml:space="preserve">Market-implied SOFR 1M and 3M forward rates (not CME Term SOFR), 3M rate from 2028-01-31 to 2028-04-28, as of the 2026-10-27 close, computed from 268 SOFR swap trades of 2026-10-27 and the SOFR fixing of 2026-10-27 (3.95%): 4.6327 (data provided by Compound, computed from SOFR published by the Federal Reserve Bank of New York and from SOFR swap trades in DTCC public swap data)</t>
      </text>
    </comment>
    <comment ref="B36" authorId="0">
      <text>
        <t xml:space="preserve">Market-implied SOFR 1M and 3M forward rates (not CME Term SOFR), 3M rate from 2028-04-28 to 2028-07-31, as of the 2026-10-27 close, computed from 268 SOFR swap trades of 2026-10-27 and the SOFR fixing of 2026-10-27 (3.95%): 4.61 (data provided by Compound, computed from SOFR published by the Federal Reserve Bank of New York and from SOFR swap trades in DTCC public swap data)</t>
      </text>
    </comment>
    <comment ref="B37" authorId="0">
      <text>
        <t xml:space="preserve">Market-implied SOFR 1M and 3M forward rates (not CME Term SOFR), 3M rate from 2028-07-31 to 2028-10-30, as of the 2026-10-27 close, computed from 268 SOFR swap trades of 2026-10-27 and the SOFR fixing of 2026-10-27 (3.95%): 4.576 (data provided by Compound, computed from SOFR published by the Federal Reserve Bank of New York and from SOFR swap trades in DTCC public swap data)</t>
      </text>
    </comment>
    <comment ref="B38" authorId="0">
      <text>
        <t xml:space="preserve">Market-implied SOFR 1M and 3M forward rates (not CME Term SOFR), 3M rate from 2028-10-30 to 2029-01-29, as of the 2026-10-27 close, computed from 268 SOFR swap trades of 2026-10-27 and the SOFR fixing of 2026-10-27 (3.95%): 4.5349 (data provided by Compound, computed from SOFR published by the Federal Reserve Bank of New York and from SOFR swap trades in DTCC public swap data)</t>
      </text>
    </comment>
    <comment ref="B39" authorId="0">
      <text>
        <t xml:space="preserve">Market-implied SOFR 1M and 3M forward rates (not CME Term SOFR), 3M rate from 2029-01-29 to 2029-04-30, as of the 2026-10-27 close, computed from 268 SOFR swap trades of 2026-10-27 and the SOFR fixing of 2026-10-27 (3.95%): 4.5114 (data provided by Compound, computed from SOFR published by the Federal Reserve Bank of New York and from SOFR swap trades in DTCC public swap data)</t>
      </text>
    </comment>
    <comment ref="B40" authorId="0">
      <text>
        <t xml:space="preserve">Market-implied SOFR 1M and 3M forward rates (not CME Term SOFR), 3M rate from 2029-04-30 to 2029-07-30, as of the 2026-10-27 close, computed from 268 SOFR swap trades of 2026-10-27 and the SOFR fixing of 2026-10-27 (3.95%): 4.4905 (data provided by Compound, computed from SOFR published by the Federal Reserve Bank of New York and from SOFR swap trades in DTCC public swap data)</t>
      </text>
    </comment>
    <comment ref="B41" authorId="0">
      <text>
        <t xml:space="preserve">Market-implied SOFR 1M and 3M forward rates (not CME Term SOFR), 3M rate from 2029-07-30 to 2029-10-29, as of the 2026-10-27 close, computed from 268 SOFR swap trades of 2026-10-27 and the SOFR fixing of 2026-10-27 (3.95%): 4.4721 (data provided by Compound, computed from SOFR published by the Federal Reserve Bank of New York and from SOFR swap trades in DTCC public swap data)</t>
      </text>
    </comment>
    <comment ref="B42" authorId="0">
      <text>
        <t xml:space="preserve">Market-implied SOFR 1M and 3M forward rates (not CME Term SOFR), 3M rate from 2029-10-29 to 2030-01-29, as of the 2026-10-27 close, computed from 268 SOFR swap trades of 2026-10-27 and the SOFR fixing of 2026-10-27 (3.95%): 4.4494 (data provided by Compound, computed from SOFR published by the Federal Reserve Bank of New York and from SOFR swap trades in DTCC public swap data)</t>
      </text>
    </comment>
    <comment ref="B43" authorId="0">
      <text>
        <t xml:space="preserve">Market-implied SOFR 1M and 3M forward rates (not CME Term SOFR), 3M rate from 2030-01-29 to 2030-04-29, as of the 2026-10-27 close, computed from 268 SOFR swap trades of 2026-10-27 and the SOFR fixing of 2026-10-27 (3.95%): 4.4264 (data provided by Compound, computed from SOFR published by the Federal Reserve Bank of New York and from SOFR swap trades in DTCC public swap data)</t>
      </text>
    </comment>
    <comment ref="B44" authorId="0">
      <text>
        <t xml:space="preserve">Market-implied SOFR 1M and 3M forward rates (not CME Term SOFR), 3M rate from 2030-04-29 to 2030-07-29, as of the 2026-10-27 close, computed from 268 SOFR swap trades of 2026-10-27 and the SOFR fixing of 2026-10-27 (3.95%): 4.4141 (data provided by Compound, computed from SOFR published by the Federal Reserve Bank of New York and from SOFR swap trades in DTCC public swap data)</t>
      </text>
    </comment>
    <comment ref="B45" authorId="0">
      <text>
        <t xml:space="preserve">Market-implied SOFR 1M and 3M forward rates (not CME Term SOFR), 3M rate from 2030-07-29 to 2030-10-29, as of the 2026-10-27 close, computed from 268 SOFR swap trades of 2026-10-27 and the SOFR fixing of 2026-10-27 (3.95%): 4.4115 (data provided by Compound, computed from SOFR published by the Federal Reserve Bank of New York and from SOFR swap trades in DTCC public swap data)</t>
      </text>
    </comment>
    <comment ref="B46" authorId="0">
      <text>
        <t xml:space="preserve">Market-implied SOFR 1M and 3M forward rates (not CME Term SOFR), 3M rate from 2030-10-29 to 2031-01-29, as of the 2026-10-27 close, computed from 268 SOFR swap trades of 2026-10-27 and the SOFR fixing of 2026-10-27 (3.95%): 4.4022 (data provided by Compound, computed from SOFR published by the Federal Reserve Bank of New York and from SOFR swap trades in DTCC public swap data)</t>
      </text>
    </comment>
    <comment ref="B47" authorId="0">
      <text>
        <t xml:space="preserve">Market-implied SOFR 1M and 3M forward rates (not CME Term SOFR), 3M rate from 2031-01-29 to 2031-04-29, as of the 2026-10-27 close, computed from 268 SOFR swap trades of 2026-10-27 and the SOFR fixing of 2026-10-27 (3.95%): 4.3903 (data provided by Compound, computed from SOFR published by the Federal Reserve Bank of New York and from SOFR swap trades in DTCC public swap data)</t>
      </text>
    </comment>
    <comment ref="B48" authorId="0">
      <text>
        <t xml:space="preserve">Market-implied SOFR 1M and 3M forward rates (not CME Term SOFR), 3M rate from 2031-04-29 to 2031-07-29, as of the 2026-10-27 close, computed from 268 SOFR swap trades of 2026-10-27 and the SOFR fixing of 2026-10-27 (3.95%): 4.395 (data provided by Compound, computed from SOFR published by the Federal Reserve Bank of New York and from SOFR swap trades in DTCC public swap data)</t>
      </text>
    </comment>
    <comment ref="B49" authorId="0">
      <text>
        <t xml:space="preserve">Market-implied SOFR 1M and 3M forward rates (not CME Term SOFR), 3M rate from 2031-07-29 to 2031-10-29, as of the 2026-10-27 close, computed from 268 SOFR swap trades of 2026-10-27 and the SOFR fixing of 2026-10-27 (3.95%): 4.4158 (data provided by Compound, computed from SOFR published by the Federal Reserve Bank of New York and from SOFR swap trades in DTCC public swap data)</t>
      </text>
    </comment>
    <comment ref="B50" authorId="0">
      <text>
        <t xml:space="preserve">Market-implied SOFR 1M and 3M forward rates (not CME Term SOFR), 3M rate from 2031-10-29 to 2032-01-29, as of the 2026-10-27 close, computed from 268 SOFR swap trades of 2026-10-27 and the SOFR fixing of 2026-10-27 (3.95%): 4.4423 (data provided by Compound, computed from SOFR published by the Federal Reserve Bank of New York and from SOFR swap trades in DTCC public swap data)</t>
      </text>
    </comment>
    <comment ref="C100" authorId="0">
      <text>
        <t xml:space="preserve">Cited for B100:C100
Secured Overnight Financing Rate (SOFR), United States, period starting 2026-08-31, as of 2026-10-08 00:11:45 UTC: 3.68 (data provided by Federal Reserve Bank of New York)</t>
      </text>
    </comment>
    <comment ref="C101" authorId="0">
      <text>
        <t xml:space="preserve">Cited for B101:C101
Secured Overnight Financing Rate (SOFR), United States, period starting 2026-09-01, as of 2026-10-08 00:11:45 UTC: 3.66 (data provided by Federal Reserve Bank of New York)</t>
      </text>
    </comment>
    <comment ref="C102" authorId="0">
      <text>
        <t xml:space="preserve">Cited for B102:C102
Secured Overnight Financing Rate (SOFR), United States, period starting 2026-09-02, as of 2026-10-08 00:11:45 UTC: 3.65 (data provided by Federal Reserve Bank of New York)</t>
      </text>
    </comment>
    <comment ref="C103" authorId="0">
      <text>
        <t xml:space="preserve">Cited for B103:C103
Secured Overnight Financing Rate (SOFR), United States, period starting 2026-09-03, as of 2026-10-08 00:11:45 UTC: 3.66 (data provided by Federal Reserve Bank of New York)</t>
      </text>
    </comment>
    <comment ref="C104" authorId="0">
      <text>
        <t xml:space="preserve">Cited for B104:C104
Secured Overnight Financing Rate (SOFR), United States, period starting 2026-09-04, as of 2026-10-08 00:11:45 UTC: 3.65 (data provided by Federal Reserve Bank of New York)</t>
      </text>
    </comment>
    <comment ref="C105" authorId="0">
      <text>
        <t xml:space="preserve">Cited for B105:C105
Secured Overnight Financing Rate (SOFR), United States, period starting 2026-09-08, as of 2026-10-08 00:11:45 UTC: 3.64 (data provided by Federal Reserve Bank of New York)</t>
      </text>
    </comment>
    <comment ref="C106" authorId="0">
      <text>
        <t xml:space="preserve">Cited for B106:C106
Secured Overnight Financing Rate (SOFR), United States, period starting 2026-09-09, as of 2026-10-08 00:11:45 UTC: 3.64 (data provided by Federal Reserve Bank of New York)</t>
      </text>
    </comment>
    <comment ref="C107" authorId="0">
      <text>
        <t xml:space="preserve">Cited for B107:C107
Secured Overnight Financing Rate (SOFR), United States, period starting 2026-09-10, as of 2026-10-08 00:11:45 UTC: 3.62 (data provided by Federal Reserve Bank of New York)</t>
      </text>
    </comment>
    <comment ref="C108" authorId="0">
      <text>
        <t xml:space="preserve">Cited for B108:C108
Secured Overnight Financing Rate (SOFR), United States, period starting 2026-09-11, as of 2026-10-08 00:11:45 UTC: 3.62 (data provided by Federal Reserve Bank of New York)</t>
      </text>
    </comment>
    <comment ref="C109" authorId="0">
      <text>
        <t xml:space="preserve">Cited for B109:C109
Secured Overnight Financing Rate (SOFR), United States, period starting 2026-09-14, as of 2026-10-08 00:11:45 UTC: 3.62 (data provided by Federal Reserve Bank of New York)</t>
      </text>
    </comment>
    <comment ref="C110" authorId="0">
      <text>
        <t xml:space="preserve">Cited for B110:C110
Secured Overnight Financing Rate (SOFR), United States, period starting 2026-09-15, as of 2026-10-08 00:11:45 UTC: 3.64 (data provided by Federal Reserve Bank of New York)</t>
      </text>
    </comment>
    <comment ref="C111" authorId="0">
      <text>
        <t xml:space="preserve">Cited for B111:C111
Secured Overnight Financing Rate (SOFR), United States, period starting 2026-09-16, as of 2026-10-08 00:11:45 UTC: 3.62 (data provided by Federal Reserve Bank of New York)</t>
      </text>
    </comment>
    <comment ref="C112" authorId="0">
      <text>
        <t xml:space="preserve">Cited for B112:C112
Secured Overnight Financing Rate (SOFR), United States, period starting 2026-09-17, as of 2026-10-08 00:11:45 UTC: 3.85 (data provided by Federal Reserve Bank of New York)</t>
      </text>
    </comment>
    <comment ref="C113" authorId="0">
      <text>
        <t xml:space="preserve">Cited for B113:C113
Secured Overnight Financing Rate (SOFR), United States, period starting 2026-09-18, as of 2026-10-08 00:11:45 UTC: 3.85 (data provided by Federal Reserve Bank of New York)</t>
      </text>
    </comment>
    <comment ref="C114" authorId="0">
      <text>
        <t xml:space="preserve">Cited for B114:C114
Secured Overnight Financing Rate (SOFR), United States, period starting 2026-09-21, as of 2026-10-08 00:11:45 UTC: 3.85 (data provided by Federal Reserve Bank of New York)</t>
      </text>
    </comment>
    <comment ref="C115" authorId="0">
      <text>
        <t xml:space="preserve">Cited for B115:C115
Secured Overnight Financing Rate (SOFR), United States, period starting 2026-09-22, as of 2026-10-08 00:11:45 UTC: 3.87 (data provided by Federal Reserve Bank of New York)</t>
      </text>
    </comment>
    <comment ref="C116" authorId="0">
      <text>
        <t xml:space="preserve">Cited for B116:C116
Secured Overnight Financing Rate (SOFR), United States, period starting 2026-09-23, as of 2026-10-08 00:11:45 UTC: 3.87 (data provided by Federal Reserve Bank of New York)</t>
      </text>
    </comment>
    <comment ref="C117" authorId="0">
      <text>
        <t xml:space="preserve">Cited for B117:C117
Secured Overnight Financing Rate (SOFR), United States, period starting 2026-09-24, as of 2026-10-08 00:11:45 UTC: 3.88 (data provided by Federal Reserve Bank of New York)</t>
      </text>
    </comment>
    <comment ref="C118" authorId="0">
      <text>
        <t xml:space="preserve">Cited for B118:C118
Secured Overnight Financing Rate (SOFR), United States, period starting 2026-09-25, as of 2026-10-08 00:11:45 UTC: 3.90 (data provided by Federal Reserve Bank of New York)</t>
      </text>
    </comment>
    <comment ref="C119" authorId="0">
      <text>
        <t xml:space="preserve">Cited for B119:C119
Secured Overnight Financing Rate (SOFR), United States, period starting 2026-09-28, as of 2026-10-08 00:11:45 UTC: 3.90 (data provided by Federal Reserve Bank of New York)</t>
      </text>
    </comment>
    <comment ref="C120" authorId="0">
      <text>
        <t xml:space="preserve">Cited for B120:C120
Secured Overnight Financing Rate (SOFR), United States, period starting 2026-09-29, as of 2026-10-08 00:11:45 UTC: 3.88 (data provided by Federal Reserve Bank of New York)</t>
      </text>
    </comment>
    <comment ref="C121" authorId="0">
      <text>
        <t xml:space="preserve">Cited for B121:C121
Secured Overnight Financing Rate (SOFR), United States, period starting 2026-09-30, as of 2026-10-08 00:11:45 UTC: 3.90 (data provided by Federal Reserve Bank of New York)</t>
      </text>
    </comment>
    <comment ref="C122" authorId="0">
      <text>
        <t xml:space="preserve">Cited for B122:C122
Secured Overnight Financing Rate (SOFR), United States, period starting 2026-10-01, as of 2026-10-08 00:11:45 UTC: 3.87 (data provided by Federal Reserve Bank of New York)</t>
      </text>
    </comment>
    <comment ref="C123" authorId="0">
      <text>
        <t xml:space="preserve">Cited for B123:C123
Secured Overnight Financing Rate (SOFR), United States, period starting 2026-10-02, as of 2026-10-08 00:11:45 UTC: 3.88 (data provided by Federal Reserve Bank of New York)</t>
      </text>
    </comment>
    <comment ref="C124" authorId="0">
      <text>
        <t xml:space="preserve">Cited for B124:C124
Secured Overnight Financing Rate (SOFR), United States, period starting 2026-10-05, as of 2026-10-08 00:11:45 UTC: 3.89 (data provided by Federal Reserve Bank of New York)</t>
      </text>
    </comment>
    <comment ref="C125" authorId="0">
      <text>
        <t xml:space="preserve">Cited for B125:C125
Secured Overnight Financing Rate (SOFR), United States, period starting 2026-10-06, as of 2026-10-08 00:11:45 UTC: 3.90 (data provided by Federal Reserve Bank of New York)</t>
      </text>
    </comment>
    <comment ref="C126" authorId="0">
      <text>
        <t xml:space="preserve">Cited for B126:C126
Secured Overnight Financing Rate (SOFR), United States, period starting 2026-10-07, as of 2026-10-08 12:00:00 UTC: 3.88 (data provided by Federal Reserve Bank of New York)</t>
      </text>
    </comment>
    <comment ref="C127" authorId="0">
      <text>
        <t xml:space="preserve">Cited for B127:C127
Secured Overnight Financing Rate (SOFR), United States, period starting 2026-10-08, as of 2026-10-09 12:00:00 UTC: 3.87 (data provided by Federal Reserve Bank of New York)</t>
      </text>
    </comment>
    <comment ref="C128" authorId="0">
      <text>
        <t xml:space="preserve">Cited for B128:C128
Secured Overnight Financing Rate (SOFR), United States, period starting 2026-10-09, as of 2026-10-13 12:00:00 UTC: 3.87 (data provided by Federal Reserve Bank of New York)</t>
      </text>
    </comment>
    <comment ref="C129" authorId="0">
      <text>
        <t xml:space="preserve">Cited for B129:C129
Secured Overnight Financing Rate (SOFR), United States, period starting 2026-10-13, as of 2026-10-14 12:00:00 UTC: 3.89 (data provided by Federal Reserve Bank of New York)</t>
      </text>
    </comment>
    <comment ref="C130" authorId="0">
      <text>
        <t xml:space="preserve">Cited for B130:C130
Secured Overnight Financing Rate (SOFR), United States, period starting 2026-10-14, as of 2026-10-15 12:00:00 UTC: 3.88 (data provided by Federal Reserve Bank of New York)</t>
      </text>
    </comment>
    <comment ref="C131" authorId="0">
      <text>
        <t xml:space="preserve">Cited for B131:C131
Secured Overnight Financing Rate (SOFR), United States, period starting 2026-10-15, as of 2026-10-16 12:00:00 UTC: 3.89 (data provided by Federal Reserve Bank of New York)</t>
      </text>
    </comment>
    <comment ref="C132" authorId="0">
      <text>
        <t xml:space="preserve">Cited for B132:C132
Secured Overnight Financing Rate (SOFR), United States, period starting 2026-10-16, as of 2026-10-19 12:00:00 UTC: 3.88 (data provided by Federal Reserve Bank of New York)</t>
      </text>
    </comment>
    <comment ref="C133" authorId="0">
      <text>
        <t xml:space="preserve">Cited for B133:C133
Secured Overnight Financing Rate (SOFR), United States, period starting 2026-10-19, as of 2026-10-20 12:00:00 UTC: 3.87 (data provided by Federal Reserve Bank of New York)</t>
      </text>
    </comment>
    <comment ref="C134" authorId="0">
      <text>
        <t xml:space="preserve">Cited for B134:C134
Secured Overnight Financing Rate (SOFR), United States, period starting 2026-10-20, as of 2026-10-21 12:00:00 UTC: 3.88 (data provided by Federal Reserve Bank of New York)</t>
      </text>
    </comment>
    <comment ref="C135" authorId="0">
      <text>
        <t xml:space="preserve">Cited for B135:C135
Secured Overnight Financing Rate (SOFR), United States, period starting 2026-10-21, as of 2026-10-22 12:00:00 UTC: 3.88 (data provided by Federal Reserve Bank of New York)</t>
      </text>
    </comment>
    <comment ref="C136" authorId="0">
      <text>
        <t xml:space="preserve">Cited for B136:C136
Secured Overnight Financing Rate (SOFR), United States, period starting 2026-10-22, as of 2026-10-23 12:00:00 UTC: 3.90 (data provided by Federal Reserve Bank of New York)</t>
      </text>
    </comment>
    <comment ref="C137" authorId="0">
      <text>
        <t xml:space="preserve">Cited for B137:C137
Secured Overnight Financing Rate (SOFR), United States, period starting 2026-10-23, as of 2026-10-26 12:00:00 UTC: 3.92 (data provided by Federal Reserve Bank of New York)</t>
      </text>
    </comment>
    <comment ref="C138" authorId="0">
      <text>
        <t xml:space="preserve">Cited for B138:C138
Secured Overnight Financing Rate (SOFR), United States, period starting 2026-10-26, as of 2026-10-27 12:00:00 UTC: 3.93 (data provided by Federal Reserve Bank of New York)</t>
      </text>
    </comment>
    <comment ref="C139" authorId="0">
      <text>
        <t xml:space="preserve">Cited for B139:C139
Secured Overnight Financing Rate (SOFR), United States, period starting 2026-10-27, as of 2026-10-28 12:00:00 UTC: 3.95 (data provided by Federal Reserve Bank of New York)</t>
      </text>
    </comment>
    <comment ref="C30" authorId="0">
      <text>
        <t xml:space="preserve">Market-implied SOFR 1M and 3M forward rates (not CME Term SOFR), 1M rate from 2026-10-29 to 2026-11-30, as of the 2026-10-27 close, computed from 268 SOFR swap trades of 2026-10-27 and the SOFR fixing of 2026-10-27 (3.95%): 3.9349 (data provided by Compound, computed from SOFR published by the Federal Reserve Bank of New York and from SOFR swap trades in DTCC public swap data)</t>
      </text>
    </comment>
    <comment ref="C31" authorId="0">
      <text>
        <t xml:space="preserve">Market-implied SOFR 1M and 3M forward rates (not CME Term SOFR), 1M rate from 2027-01-29 to 2027-02-26, as of the 2026-10-27 close, computed from 268 SOFR swap trades of 2026-10-27 and the SOFR fixing of 2026-10-27 (3.95%): 4.26 (data provided by Compound, computed from SOFR published by the Federal Reserve Bank of New York and from SOFR swap trades in DTCC public swap data)</t>
      </text>
    </comment>
    <comment ref="C32" authorId="0">
      <text>
        <t xml:space="preserve">Market-implied SOFR 1M and 3M forward rates (not CME Term SOFR), 1M rate from 2027-04-29 to 2027-05-28, as of the 2026-10-27 close, computed from 268 SOFR swap trades of 2026-10-27 and the SOFR fixing of 2026-10-27 (3.95%): 4.4867 (data provided by Compound, computed from SOFR published by the Federal Reserve Bank of New York and from SOFR swap trades in DTCC public swap data)</t>
      </text>
    </comment>
    <comment ref="C33" authorId="0">
      <text>
        <t xml:space="preserve">Market-implied SOFR 1M and 3M forward rates (not CME Term SOFR), 1M rate from 2027-07-29 to 2027-08-30, as of the 2026-10-27 close, computed from 268 SOFR swap trades of 2026-10-27 and the SOFR fixing of 2026-10-27 (3.95%): 4.6379 (data provided by Compound, computed from SOFR published by the Federal Reserve Bank of New York and from SOFR swap trades in DTCC public swap data)</t>
      </text>
    </comment>
    <comment ref="C34" authorId="0">
      <text>
        <t xml:space="preserve">Market-implied SOFR 1M and 3M forward rates (not CME Term SOFR), 1M rate from 2027-10-29 to 2027-11-29, as of the 2026-10-27 close, computed from 268 SOFR swap trades of 2026-10-27 and the SOFR fixing of 2026-10-27 (3.95%): 4.6486 (data provided by Compound, computed from SOFR published by the Federal Reserve Bank of New York and from SOFR swap trades in DTCC public swap data)</t>
      </text>
    </comment>
    <comment ref="C35" authorId="0">
      <text>
        <t xml:space="preserve">Market-implied SOFR 1M and 3M forward rates (not CME Term SOFR), 1M rate from 2028-01-31 to 2028-02-29, as of the 2026-10-27 close, computed from 268 SOFR swap trades of 2026-10-27 and the SOFR fixing of 2026-10-27 (3.95%): 4.6152 (data provided by Compound, computed from SOFR published by the Federal Reserve Bank of New York and from SOFR swap trades in DTCC public swap data)</t>
      </text>
    </comment>
    <comment ref="C36" authorId="0">
      <text>
        <t xml:space="preserve">Market-implied SOFR 1M and 3M forward rates (not CME Term SOFR), 1M rate from 2028-04-28 to 2028-05-30, as of the 2026-10-27 close, computed from 268 SOFR swap trades of 2026-10-27 and the SOFR fixing of 2026-10-27 (3.95%): 4.5959 (data provided by Compound, computed from SOFR published by the Federal Reserve Bank of New York and from SOFR swap trades in DTCC public swap data)</t>
      </text>
    </comment>
    <comment ref="C37" authorId="0">
      <text>
        <t xml:space="preserve">Market-implied SOFR 1M and 3M forward rates (not CME Term SOFR), 1M rate from 2028-07-31 to 2028-08-29, as of the 2026-10-27 close, computed from 268 SOFR swap trades of 2026-10-27 and the SOFR fixing of 2026-10-27 (3.95%): 4.5746 (data provided by Compound, computed from SOFR published by the Federal Reserve Bank of New York and from SOFR swap trades in DTCC public swap data)</t>
      </text>
    </comment>
    <comment ref="C38" authorId="0">
      <text>
        <t xml:space="preserve">Market-implied SOFR 1M and 3M forward rates (not CME Term SOFR), 1M rate from 2028-10-30 to 2028-11-29, as of the 2026-10-27 close, computed from 268 SOFR swap trades of 2026-10-27 and the SOFR fixing of 2026-10-27 (3.95%): 4.5259 (data provided by Compound, computed from SOFR published by the Federal Reserve Bank of New York and from SOFR swap trades in DTCC public swap data)</t>
      </text>
    </comment>
    <comment ref="C39" authorId="0">
      <text>
        <t xml:space="preserve">Market-implied SOFR 1M and 3M forward rates (not CME Term SOFR), 1M rate from 2029-01-29 to 2029-02-28, as of the 2026-10-27 close, computed from 268 SOFR swap trades of 2026-10-27 and the SOFR fixing of 2026-10-27 (3.95%): 4.5017 (data provided by Compound, computed from SOFR published by the Federal Reserve Bank of New York and from SOFR swap trades in DTCC public swap data)</t>
      </text>
    </comment>
    <comment ref="C40" authorId="0">
      <text>
        <t xml:space="preserve">Market-implied SOFR 1M and 3M forward rates (not CME Term SOFR), 1M rate from 2029-04-30 to 2029-05-29, as of the 2026-10-27 close, computed from 268 SOFR swap trades of 2026-10-27 and the SOFR fixing of 2026-10-27 (3.95%): 4.4799 (data provided by Compound, computed from SOFR published by the Federal Reserve Bank of New York and from SOFR swap trades in DTCC public swap data)</t>
      </text>
    </comment>
    <comment ref="C41" authorId="0">
      <text>
        <t xml:space="preserve">Market-implied SOFR 1M and 3M forward rates (not CME Term SOFR), 1M rate from 2029-07-30 to 2029-08-29, as of the 2026-10-27 close, computed from 268 SOFR swap trades of 2026-10-27 and the SOFR fixing of 2026-10-27 (3.95%): 4.461 (data provided by Compound, computed from SOFR published by the Federal Reserve Bank of New York and from SOFR swap trades in DTCC public swap data)</t>
      </text>
    </comment>
    <comment ref="C42" authorId="0">
      <text>
        <t xml:space="preserve">Market-implied SOFR 1M and 3M forward rates (not CME Term SOFR), 1M rate from 2029-10-29 to 2029-11-29, as of the 2026-10-27 close, computed from 268 SOFR swap trades of 2026-10-27 and the SOFR fixing of 2026-10-27 (3.95%): 4.442 (data provided by Compound, computed from SOFR published by the Federal Reserve Bank of New York and from SOFR swap trades in DTCC public swap data)</t>
      </text>
    </comment>
    <comment ref="C43" authorId="0">
      <text>
        <t xml:space="preserve">Market-implied SOFR 1M and 3M forward rates (not CME Term SOFR), 1M rate from 2030-01-29 to 2030-02-28, as of the 2026-10-27 close, computed from 268 SOFR swap trades of 2026-10-27 and the SOFR fixing of 2026-10-27 (3.95%): 4.4161 (data provided by Compound, computed from SOFR published by the Federal Reserve Bank of New York and from SOFR swap trades in DTCC public swap data)</t>
      </text>
    </comment>
    <comment ref="C44" authorId="0">
      <text>
        <t xml:space="preserve">Market-implied SOFR 1M and 3M forward rates (not CME Term SOFR), 1M rate from 2030-04-29 to 2030-05-29, as of the 2026-10-27 close, computed from 268 SOFR swap trades of 2026-10-27 and the SOFR fixing of 2026-10-27 (3.95%): 4.4004 (data provided by Compound, computed from SOFR published by the Federal Reserve Bank of New York and from SOFR swap trades in DTCC public swap data)</t>
      </text>
    </comment>
    <comment ref="C45" authorId="0">
      <text>
        <t xml:space="preserve">Market-implied SOFR 1M and 3M forward rates (not CME Term SOFR), 1M rate from 2030-07-29 to 2030-08-29, as of the 2026-10-27 close, computed from 268 SOFR swap trades of 2026-10-27 and the SOFR fixing of 2026-10-27 (3.95%): 4.3946 (data provided by Compound, computed from SOFR published by the Federal Reserve Bank of New York and from SOFR swap trades in DTCC public swap data)</t>
      </text>
    </comment>
    <comment ref="C46" authorId="0">
      <text>
        <t xml:space="preserve">Market-implied SOFR 1M and 3M forward rates (not CME Term SOFR), 1M rate from 2030-10-29 to 2030-11-29, as of the 2026-10-27 close, computed from 268 SOFR swap trades of 2026-10-27 and the SOFR fixing of 2026-10-27 (3.95%): 4.3926 (data provided by Compound, computed from SOFR published by the Federal Reserve Bank of New York and from SOFR swap trades in DTCC public swap data)</t>
      </text>
    </comment>
    <comment ref="C47" authorId="0">
      <text>
        <t xml:space="preserve">Market-implied SOFR 1M and 3M forward rates (not CME Term SOFR), 1M rate from 2031-01-29 to 2031-02-28, as of the 2026-10-27 close, computed from 268 SOFR swap trades of 2026-10-27 and the SOFR fixing of 2026-10-27 (3.95%): 4.3757 (data provided by Compound, computed from SOFR published by the Federal Reserve Bank of New York and from SOFR swap trades in DTCC public swap data)</t>
      </text>
    </comment>
    <comment ref="C48" authorId="0">
      <text>
        <t xml:space="preserve">Market-implied SOFR 1M and 3M forward rates (not CME Term SOFR), 1M rate from 2031-04-29 to 2031-05-29, as of the 2026-10-27 close, computed from 268 SOFR swap trades of 2026-10-27 and the SOFR fixing of 2026-10-27 (3.95%): 4.3749 (data provided by Compound, computed from SOFR published by the Federal Reserve Bank of New York and from SOFR swap trades in DTCC public swap data)</t>
      </text>
    </comment>
    <comment ref="C49" authorId="0">
      <text>
        <t xml:space="preserve">Market-implied SOFR 1M and 3M forward rates (not CME Term SOFR), 1M rate from 2031-07-29 to 2031-08-29, as of the 2026-10-27 close, computed from 268 SOFR swap trades of 2026-10-27 and the SOFR fixing of 2026-10-27 (3.95%): 4.3903 (data provided by Compound, computed from SOFR published by the Federal Reserve Bank of New York and from SOFR swap trades in DTCC public swap data)</t>
      </text>
    </comment>
    <comment ref="C50" authorId="0">
      <text>
        <t xml:space="preserve">Market-implied SOFR 1M and 3M forward rates (not CME Term SOFR), 1M rate from 2031-10-29 to 2031-11-28, as of the 2026-10-27 close, computed from 268 SOFR swap trades of 2026-10-27 and the SOFR fixing of 2026-10-27 (3.95%): 4.4185 (data provided by Compound, computed from SOFR published by the Federal Reserve Bank of New York and from SOFR swap trades in DTCC public swap data)</t>
      </text>
    </comment>
    <comment ref="C54" authorId="0">
      <text>
        <t xml:space="preserve">Cited for B54:C54
Secured Overnight Financing Rate (SOFR), United States, period starting 2026-06-25, as of 2026-10-08 00:11:45 UTC: 3.64 (data provided by Federal Reserve Bank of New York)</t>
      </text>
    </comment>
    <comment ref="C55" authorId="0">
      <text>
        <t xml:space="preserve">Cited for B55:C55
Secured Overnight Financing Rate (SOFR), United States, period starting 2026-06-26, as of 2026-10-08 00:11:45 UTC: 3.62 (data provided by Federal Reserve Bank of New York)</t>
      </text>
    </comment>
    <comment ref="C56" authorId="0">
      <text>
        <t xml:space="preserve">Cited for B56:C56
Secured Overnight Financing Rate (SOFR), United States, period starting 2026-06-29, as of 2026-10-08 00:11:45 UTC: 3.62 (data provided by Federal Reserve Bank of New York)</t>
      </text>
    </comment>
    <comment ref="C57" authorId="0">
      <text>
        <t xml:space="preserve">Cited for B57:C57
Secured Overnight Financing Rate (SOFR), United States, period starting 2026-06-30, as of 2026-10-08 00:11:45 UTC: 3.68 (data provided by Federal Reserve Bank of New York)</t>
      </text>
    </comment>
    <comment ref="C58" authorId="0">
      <text>
        <t xml:space="preserve">Cited for B58:C58
Secured Overnight Financing Rate (SOFR), United States, period starting 2026-07-01, as of 2026-10-08 00:11:45 UTC: 3.66 (data provided by Federal Reserve Bank of New York)</t>
      </text>
    </comment>
    <comment ref="C59" authorId="0">
      <text>
        <t xml:space="preserve">Cited for B59:C59
Secured Overnight Financing Rate (SOFR), United States, period starting 2026-07-02, as of 2026-10-08 00:11:45 UTC: 3.64 (data provided by Federal Reserve Bank of New York)</t>
      </text>
    </comment>
    <comment ref="C60" authorId="0">
      <text>
        <t xml:space="preserve">Cited for B60:C60
Secured Overnight Financing Rate (SOFR), United States, period starting 2026-07-06, as of 2026-10-08 00:11:45 UTC: 3.63 (data provided by Federal Reserve Bank of New York)</t>
      </text>
    </comment>
    <comment ref="C61" authorId="0">
      <text>
        <t xml:space="preserve">Cited for B61:C61
Secured Overnight Financing Rate (SOFR), United States, period starting 2026-07-07, as of 2026-10-08 00:11:45 UTC: 3.62 (data provided by Federal Reserve Bank of New York)</t>
      </text>
    </comment>
    <comment ref="C62" authorId="0">
      <text>
        <t xml:space="preserve">Cited for B62:C62
Secured Overnight Financing Rate (SOFR), United States, period starting 2026-07-08, as of 2026-10-08 00:11:45 UTC: 3.58 (data provided by Federal Reserve Bank of New York)</t>
      </text>
    </comment>
    <comment ref="C63" authorId="0">
      <text>
        <t xml:space="preserve">Cited for B63:C63
Secured Overnight Financing Rate (SOFR), United States, period starting 2026-07-09, as of 2026-10-08 00:11:45 UTC: 3.53 (data provided by Federal Reserve Bank of New York)</t>
      </text>
    </comment>
    <comment ref="C64" authorId="0">
      <text>
        <t xml:space="preserve">Cited for B64:C64
Secured Overnight Financing Rate (SOFR), United States, period starting 2026-07-10, as of 2026-10-08 00:11:45 UTC: 3.55 (data provided by Federal Reserve Bank of New York)</t>
      </text>
    </comment>
    <comment ref="C65" authorId="0">
      <text>
        <t xml:space="preserve">Cited for B65:C65
Secured Overnight Financing Rate (SOFR), United States, period starting 2026-07-13, as of 2026-10-08 00:11:45 UTC: 3.60 (data provided by Federal Reserve Bank of New York)</t>
      </text>
    </comment>
    <comment ref="C66" authorId="0">
      <text>
        <t xml:space="preserve">Cited for B66:C66
Secured Overnight Financing Rate (SOFR), United States, period starting 2026-07-14, as of 2026-10-08 00:11:45 UTC: 3.63 (data provided by Federal Reserve Bank of New York)</t>
      </text>
    </comment>
    <comment ref="C67" authorId="0">
      <text>
        <t xml:space="preserve">Cited for B67:C67
Secured Overnight Financing Rate (SOFR), United States, period starting 2026-07-15, as of 2026-10-08 00:11:45 UTC: 3.64 (data provided by Federal Reserve Bank of New York)</t>
      </text>
    </comment>
    <comment ref="C68" authorId="0">
      <text>
        <t xml:space="preserve">Cited for B68:C68
Secured Overnight Financing Rate (SOFR), United States, period starting 2026-07-16, as of 2026-10-08 00:11:45 UTC: 3.62 (data provided by Federal Reserve Bank of New York)</t>
      </text>
    </comment>
    <comment ref="C69" authorId="0">
      <text>
        <t xml:space="preserve">Cited for B69:C69
Secured Overnight Financing Rate (SOFR), United States, period starting 2026-07-17, as of 2026-10-08 00:11:45 UTC: 3.59 (data provided by Federal Reserve Bank of New York)</t>
      </text>
    </comment>
    <comment ref="C70" authorId="0">
      <text>
        <t xml:space="preserve">Cited for B70:C70
Secured Overnight Financing Rate (SOFR), United States, period starting 2026-07-20, as of 2026-10-08 00:11:45 UTC: 3.57 (data provided by Federal Reserve Bank of New York)</t>
      </text>
    </comment>
    <comment ref="C71" authorId="0">
      <text>
        <t xml:space="preserve">Cited for B71:C71
Secured Overnight Financing Rate (SOFR), United States, period starting 2026-07-21, as of 2026-10-08 00:11:45 UTC: 3.61 (data provided by Federal Reserve Bank of New York)</t>
      </text>
    </comment>
    <comment ref="C72" authorId="0">
      <text>
        <t xml:space="preserve">Cited for B72:C72
Secured Overnight Financing Rate (SOFR), United States, period starting 2026-07-22, as of 2026-10-08 00:11:45 UTC: 3.62 (data provided by Federal Reserve Bank of New York)</t>
      </text>
    </comment>
    <comment ref="C73" authorId="0">
      <text>
        <t xml:space="preserve">Cited for B73:C73
Secured Overnight Financing Rate (SOFR), United States, period starting 2026-07-23, as of 2026-10-08 00:11:45 UTC: 3.64 (data provided by Federal Reserve Bank of New York)</t>
      </text>
    </comment>
    <comment ref="C74" authorId="0">
      <text>
        <t xml:space="preserve">Cited for B74:C74
Secured Overnight Financing Rate (SOFR), United States, period starting 2026-07-24, as of 2026-10-08 00:11:45 UTC: 3.64 (data provided by Federal Reserve Bank of New York)</t>
      </text>
    </comment>
    <comment ref="C75" authorId="0">
      <text>
        <t xml:space="preserve">Cited for B75:C75
Secured Overnight Financing Rate (SOFR), United States, period starting 2026-07-27, as of 2026-10-08 00:11:45 UTC: 3.64 (data provided by Federal Reserve Bank of New York)</t>
      </text>
    </comment>
    <comment ref="C76" authorId="0">
      <text>
        <t xml:space="preserve">Cited for B76:C76
Secured Overnight Financing Rate (SOFR), United States, period starting 2026-07-28, as of 2026-10-08 00:11:45 UTC: 3.65 (data provided by Federal Reserve Bank of New York)</t>
      </text>
    </comment>
    <comment ref="C77" authorId="0">
      <text>
        <t xml:space="preserve">Cited for B77:C77
Secured Overnight Financing Rate (SOFR), United States, period starting 2026-07-29, as of 2026-10-08 00:11:45 UTC: 3.65 (data provided by Federal Reserve Bank of New York)</t>
      </text>
    </comment>
    <comment ref="C78" authorId="0">
      <text>
        <t xml:space="preserve">Cited for B78:C78
Secured Overnight Financing Rate (SOFR), United States, period starting 2026-07-30, as of 2026-10-08 00:11:45 UTC: 3.65 (data provided by Federal Reserve Bank of New York)</t>
      </text>
    </comment>
    <comment ref="C79" authorId="0">
      <text>
        <t xml:space="preserve">Cited for B79:C79
Secured Overnight Financing Rate (SOFR), United States, period starting 2026-07-31, as of 2026-10-08 00:11:45 UTC: 3.66 (data provided by Federal Reserve Bank of New York)</t>
      </text>
    </comment>
    <comment ref="C8" authorId="0">
      <text>
        <t xml:space="preserve">Inputs of Market-implied SOFR 1M and 3M forward rates (not CME Term SOFR) as of the 2026-10-27 close, status: built (data provided by Compound, computed from SOFR published by the Federal Reserve Bank of New York and from SOFR swap trades in DTCC public swap data)</t>
      </text>
    </comment>
    <comment ref="C80" authorId="0">
      <text>
        <t xml:space="preserve">Cited for B80:C80
Secured Overnight Financing Rate (SOFR), United States, period starting 2026-08-03, as of 2026-10-08 00:11:45 UTC: 3.65 (data provided by Federal Reserve Bank of New York)</t>
      </text>
    </comment>
    <comment ref="C81" authorId="0">
      <text>
        <t xml:space="preserve">Cited for B81:C81
Secured Overnight Financing Rate (SOFR), United States, period starting 2026-08-04, as of 2026-10-08 00:11:45 UTC: 3.66 (data provided by Federal Reserve Bank of New York)</t>
      </text>
    </comment>
    <comment ref="C82" authorId="0">
      <text>
        <t xml:space="preserve">Cited for B82:C82
Secured Overnight Financing Rate (SOFR), United States, period starting 2026-08-05, as of 2026-10-08 00:11:45 UTC: 3.64 (data provided by Federal Reserve Bank of New York)</t>
      </text>
    </comment>
    <comment ref="C83" authorId="0">
      <text>
        <t xml:space="preserve">Cited for B83:C83
Secured Overnight Financing Rate (SOFR), United States, period starting 2026-08-06, as of 2026-10-08 00:11:45 UTC: 3.65 (data provided by Federal Reserve Bank of New York)</t>
      </text>
    </comment>
    <comment ref="C84" authorId="0">
      <text>
        <t xml:space="preserve">Cited for B84:C84
Secured Overnight Financing Rate (SOFR), United States, period starting 2026-08-07, as of 2026-10-08 00:11:45 UTC: 3.62 (data provided by Federal Reserve Bank of New York)</t>
      </text>
    </comment>
    <comment ref="C85" authorId="0">
      <text>
        <t xml:space="preserve">Cited for B85:C85
Secured Overnight Financing Rate (SOFR), United States, period starting 2026-08-10, as of 2026-10-08 00:11:45 UTC: 3.63 (data provided by Federal Reserve Bank of New York)</t>
      </text>
    </comment>
    <comment ref="C86" authorId="0">
      <text>
        <t xml:space="preserve">Cited for B86:C86
Secured Overnight Financing Rate (SOFR), United States, period starting 2026-08-11, as of 2026-10-08 00:11:45 UTC: 3.64 (data provided by Federal Reserve Bank of New York)</t>
      </text>
    </comment>
    <comment ref="C87" authorId="0">
      <text>
        <t xml:space="preserve">Cited for B87:C87
Secured Overnight Financing Rate (SOFR), United States, period starting 2026-08-12, as of 2026-10-08 00:11:45 UTC: 3.62 (data provided by Federal Reserve Bank of New York)</t>
      </text>
    </comment>
    <comment ref="C88" authorId="0">
      <text>
        <t xml:space="preserve">Cited for B88:C88
Secured Overnight Financing Rate (SOFR), United States, period starting 2026-08-13, as of 2026-10-08 00:11:45 UTC: 3.62 (data provided by Federal Reserve Bank of New York)</t>
      </text>
    </comment>
    <comment ref="C89" authorId="0">
      <text>
        <t xml:space="preserve">Cited for B89:C89
Secured Overnight Financing Rate (SOFR), United States, period starting 2026-08-14, as of 2026-10-08 00:11:45 UTC: 3.62 (data provided by Federal Reserve Bank of New York)</t>
      </text>
    </comment>
    <comment ref="C9" authorId="0">
      <text>
        <t xml:space="preserve">Inputs of Market-implied SOFR 1M and 3M forward rates (not CME Term SOFR) as of the 2026-10-27 close, input trade count: 268 (data provided by Compound, computed from SOFR published by the Federal Reserve Bank of New York and from SOFR swap trades in DTCC public swap data)</t>
      </text>
    </comment>
    <comment ref="C90" authorId="0">
      <text>
        <t xml:space="preserve">Cited for B90:C90
Secured Overnight Financing Rate (SOFR), United States, period starting 2026-08-17, as of 2026-10-08 00:11:45 UTC: 3.66 (data provided by Federal Reserve Bank of New York)</t>
      </text>
    </comment>
    <comment ref="C91" authorId="0">
      <text>
        <t xml:space="preserve">Cited for B91:C91
Secured Overnight Financing Rate (SOFR), United States, period starting 2026-08-18, as of 2026-10-08 00:11:45 UTC: 3.65 (data provided by Federal Reserve Bank of New York)</t>
      </text>
    </comment>
    <comment ref="C92" authorId="0">
      <text>
        <t xml:space="preserve">Cited for B92:C92
Secured Overnight Financing Rate (SOFR), United States, period starting 2026-08-19, as of 2026-10-08 00:11:45 UTC: 3.62 (data provided by Federal Reserve Bank of New York)</t>
      </text>
    </comment>
    <comment ref="C93" authorId="0">
      <text>
        <t xml:space="preserve">Cited for B93:C93
Secured Overnight Financing Rate (SOFR), United States, period starting 2026-08-20, as of 2026-10-08 00:11:45 UTC: 3.63 (data provided by Federal Reserve Bank of New York)</t>
      </text>
    </comment>
    <comment ref="C94" authorId="0">
      <text>
        <t xml:space="preserve">Cited for B94:C94
Secured Overnight Financing Rate (SOFR), United States, period starting 2026-08-21, as of 2026-10-08 00:11:45 UTC: 3.65 (data provided by Federal Reserve Bank of New York)</t>
      </text>
    </comment>
    <comment ref="C95" authorId="0">
      <text>
        <t xml:space="preserve">Cited for B95:C95
Secured Overnight Financing Rate (SOFR), United States, period starting 2026-08-24, as of 2026-10-08 00:11:45 UTC: 3.65 (data provided by Federal Reserve Bank of New York)</t>
      </text>
    </comment>
    <comment ref="C96" authorId="0">
      <text>
        <t xml:space="preserve">Cited for B96:C96
Secured Overnight Financing Rate (SOFR), United States, period starting 2026-08-25, as of 2026-10-08 00:11:45 UTC: 3.66 (data provided by Federal Reserve Bank of New York)</t>
      </text>
    </comment>
    <comment ref="C97" authorId="0">
      <text>
        <t xml:space="preserve">Cited for B97:C97
Secured Overnight Financing Rate (SOFR), United States, period starting 2026-08-26, as of 2026-10-08 00:11:45 UTC: 3.64 (data provided by Federal Reserve Bank of New York)</t>
      </text>
    </comment>
    <comment ref="C98" authorId="0">
      <text>
        <t xml:space="preserve">Cited for B98:C98
Secured Overnight Financing Rate (SOFR), United States, period starting 2026-08-27, as of 2026-10-08 00:11:45 UTC: 3.64 (data provided by Federal Reserve Bank of New York)</t>
      </text>
    </comment>
    <comment ref="C99" authorId="0">
      <text>
        <t xml:space="preserve">Cited for B99:C99
Secured Overnight Financing Rate (SOFR), United States, period starting 2026-08-28, as of 2026-10-08 00:11:45 UTC: 3.65 (data provided by Federal Reserve Bank of New York)</t>
      </text>
    </comment>
    <comment ref="D30" authorId="0">
      <text>
        <t xml:space="preserve">Market-implied SOFR 1M and 3M forward rates (not CME Term SOFR), 3M rate from 2026-10-29 to 2027-01-29, as of the 2026-10-27 close, computed from 268 SOFR swap trades of 2026-10-27 and the SOFR fixing of 2026-10-27 (3.95%): 4.0533 (data provided by Compound, computed from SOFR published by the Federal Reserve Bank of New York and from SOFR swap trades in DTCC public swap data)</t>
      </text>
    </comment>
    <comment ref="D31" authorId="0">
      <text>
        <t xml:space="preserve">Market-implied SOFR 1M and 3M forward rates (not CME Term SOFR), 3M rate from 2027-01-29 to 2027-04-29, as of the 2026-10-27 close, computed from 268 SOFR swap trades of 2026-10-27 and the SOFR fixing of 2026-10-27 (3.95%): 4.3319 (data provided by Compound, computed from SOFR published by the Federal Reserve Bank of New York and from SOFR swap trades in DTCC public swap data)</t>
      </text>
    </comment>
    <comment ref="D32" authorId="0">
      <text>
        <t xml:space="preserve">Market-implied SOFR 1M and 3M forward rates (not CME Term SOFR), 3M rate from 2027-04-29 to 2027-07-29, as of the 2026-10-27 close, computed from 268 SOFR swap trades of 2026-10-27 and the SOFR fixing of 2026-10-27 (3.95%): 4.5542 (data provided by Compound, computed from SOFR published by the Federal Reserve Bank of New York and from SOFR swap trades in DTCC public swap data)</t>
      </text>
    </comment>
    <comment ref="D33" authorId="0">
      <text>
        <t xml:space="preserve">Market-implied SOFR 1M and 3M forward rates (not CME Term SOFR), 3M rate from 2027-07-29 to 2027-10-29, as of the 2026-10-27 close, computed from 268 SOFR swap trades of 2026-10-27 and the SOFR fixing of 2026-10-27 (3.95%): 4.664 (data provided by Compound, computed from SOFR published by the Federal Reserve Bank of New York and from SOFR swap trades in DTCC public swap data)</t>
      </text>
    </comment>
    <comment ref="D34" authorId="0">
      <text>
        <t xml:space="preserve">Market-implied SOFR 1M and 3M forward rates (not CME Term SOFR), 3M rate from 2027-10-29 to 2028-01-31, as of the 2026-10-27 close, computed from 268 SOFR swap trades of 2026-10-27 and the SOFR fixing of 2026-10-27 (3.95%): 4.6592 (data provided by Compound, computed from SOFR published by the Federal Reserve Bank of New York and from SOFR swap trades in DTCC public swap data)</t>
      </text>
    </comment>
    <comment ref="D35" authorId="0">
      <text>
        <t xml:space="preserve">Market-implied SOFR 1M and 3M forward rates (not CME Term SOFR), 3M rate from 2028-01-31 to 2028-04-28, as of the 2026-10-27 close, computed from 268 SOFR swap trades of 2026-10-27 and the SOFR fixing of 2026-10-27 (3.95%): 4.6327 (data provided by Compound, computed from SOFR published by the Federal Reserve Bank of New York and from SOFR swap trades in DTCC public swap data)</t>
      </text>
    </comment>
    <comment ref="D36" authorId="0">
      <text>
        <t xml:space="preserve">Market-implied SOFR 1M and 3M forward rates (not CME Term SOFR), 3M rate from 2028-04-28 to 2028-07-31, as of the 2026-10-27 close, computed from 268 SOFR swap trades of 2026-10-27 and the SOFR fixing of 2026-10-27 (3.95%): 4.61 (data provided by Compound, computed from SOFR published by the Federal Reserve Bank of New York and from SOFR swap trades in DTCC public swap data)</t>
      </text>
    </comment>
    <comment ref="D37" authorId="0">
      <text>
        <t xml:space="preserve">Market-implied SOFR 1M and 3M forward rates (not CME Term SOFR), 3M rate from 2028-07-31 to 2028-10-30, as of the 2026-10-27 close, computed from 268 SOFR swap trades of 2026-10-27 and the SOFR fixing of 2026-10-27 (3.95%): 4.576 (data provided by Compound, computed from SOFR published by the Federal Reserve Bank of New York and from SOFR swap trades in DTCC public swap data)</t>
      </text>
    </comment>
    <comment ref="D38" authorId="0">
      <text>
        <t xml:space="preserve">Market-implied SOFR 1M and 3M forward rates (not CME Term SOFR), 3M rate from 2028-10-30 to 2029-01-29, as of the 2026-10-27 close, computed from 268 SOFR swap trades of 2026-10-27 and the SOFR fixing of 2026-10-27 (3.95%): 4.5349 (data provided by Compound, computed from SOFR published by the Federal Reserve Bank of New York and from SOFR swap trades in DTCC public swap data)</t>
      </text>
    </comment>
    <comment ref="D39" authorId="0">
      <text>
        <t xml:space="preserve">Market-implied SOFR 1M and 3M forward rates (not CME Term SOFR), 3M rate from 2029-01-29 to 2029-04-30, as of the 2026-10-27 close, computed from 268 SOFR swap trades of 2026-10-27 and the SOFR fixing of 2026-10-27 (3.95%): 4.5114 (data provided by Compound, computed from SOFR published by the Federal Reserve Bank of New York and from SOFR swap trades in DTCC public swap data)</t>
      </text>
    </comment>
    <comment ref="D40" authorId="0">
      <text>
        <t xml:space="preserve">Market-implied SOFR 1M and 3M forward rates (not CME Term SOFR), 3M rate from 2029-04-30 to 2029-07-30, as of the 2026-10-27 close, computed from 268 SOFR swap trades of 2026-10-27 and the SOFR fixing of 2026-10-27 (3.95%): 4.4905 (data provided by Compound, computed from SOFR published by the Federal Reserve Bank of New York and from SOFR swap trades in DTCC public swap data)</t>
      </text>
    </comment>
    <comment ref="D41" authorId="0">
      <text>
        <t xml:space="preserve">Market-implied SOFR 1M and 3M forward rates (not CME Term SOFR), 3M rate from 2029-07-30 to 2029-10-29, as of the 2026-10-27 close, computed from 268 SOFR swap trades of 2026-10-27 and the SOFR fixing of 2026-10-27 (3.95%): 4.4721 (data provided by Compound, computed from SOFR published by the Federal Reserve Bank of New York and from SOFR swap trades in DTCC public swap data)</t>
      </text>
    </comment>
    <comment ref="D42" authorId="0">
      <text>
        <t xml:space="preserve">Market-implied SOFR 1M and 3M forward rates (not CME Term SOFR), 3M rate from 2029-10-29 to 2030-01-29, as of the 2026-10-27 close, computed from 268 SOFR swap trades of 2026-10-27 and the SOFR fixing of 2026-10-27 (3.95%): 4.4494 (data provided by Compound, computed from SOFR published by the Federal Reserve Bank of New York and from SOFR swap trades in DTCC public swap data)</t>
      </text>
    </comment>
    <comment ref="D43" authorId="0">
      <text>
        <t xml:space="preserve">Market-implied SOFR 1M and 3M forward rates (not CME Term SOFR), 3M rate from 2030-01-29 to 2030-04-29, as of the 2026-10-27 close, computed from 268 SOFR swap trades of 2026-10-27 and the SOFR fixing of 2026-10-27 (3.95%): 4.4264 (data provided by Compound, computed from SOFR published by the Federal Reserve Bank of New York and from SOFR swap trades in DTCC public swap data)</t>
      </text>
    </comment>
    <comment ref="D44" authorId="0">
      <text>
        <t xml:space="preserve">Market-implied SOFR 1M and 3M forward rates (not CME Term SOFR), 3M rate from 2030-04-29 to 2030-07-29, as of the 2026-10-27 close, computed from 268 SOFR swap trades of 2026-10-27 and the SOFR fixing of 2026-10-27 (3.95%): 4.4141 (data provided by Compound, computed from SOFR published by the Federal Reserve Bank of New York and from SOFR swap trades in DTCC public swap data)</t>
      </text>
    </comment>
    <comment ref="D45" authorId="0">
      <text>
        <t xml:space="preserve">Market-implied SOFR 1M and 3M forward rates (not CME Term SOFR), 3M rate from 2030-07-29 to 2030-10-29, as of the 2026-10-27 close, computed from 268 SOFR swap trades of 2026-10-27 and the SOFR fixing of 2026-10-27 (3.95%): 4.4115 (data provided by Compound, computed from SOFR published by the Federal Reserve Bank of New York and from SOFR swap trades in DTCC public swap data)</t>
      </text>
    </comment>
    <comment ref="D46" authorId="0">
      <text>
        <t xml:space="preserve">Market-implied SOFR 1M and 3M forward rates (not CME Term SOFR), 3M rate from 2030-10-29 to 2031-01-29, as of the 2026-10-27 close, computed from 268 SOFR swap trades of 2026-10-27 and the SOFR fixing of 2026-10-27 (3.95%): 4.4022 (data provided by Compound, computed from SOFR published by the Federal Reserve Bank of New York and from SOFR swap trades in DTCC public swap data)</t>
      </text>
    </comment>
    <comment ref="D47" authorId="0">
      <text>
        <t xml:space="preserve">Market-implied SOFR 1M and 3M forward rates (not CME Term SOFR), 3M rate from 2031-01-29 to 2031-04-29, as of the 2026-10-27 close, computed from 268 SOFR swap trades of 2026-10-27 and the SOFR fixing of 2026-10-27 (3.95%): 4.3903 (data provided by Compound, computed from SOFR published by the Federal Reserve Bank of New York and from SOFR swap trades in DTCC public swap data)</t>
      </text>
    </comment>
    <comment ref="D48" authorId="0">
      <text>
        <t xml:space="preserve">Market-implied SOFR 1M and 3M forward rates (not CME Term SOFR), 3M rate from 2031-04-29 to 2031-07-29, as of the 2026-10-27 close, computed from 268 SOFR swap trades of 2026-10-27 and the SOFR fixing of 2026-10-27 (3.95%): 4.395 (data provided by Compound, computed from SOFR published by the Federal Reserve Bank of New York and from SOFR swap trades in DTCC public swap data)</t>
      </text>
    </comment>
    <comment ref="D49" authorId="0">
      <text>
        <t xml:space="preserve">Market-implied SOFR 1M and 3M forward rates (not CME Term SOFR), 3M rate from 2031-07-29 to 2031-10-29, as of the 2026-10-27 close, computed from 268 SOFR swap trades of 2026-10-27 and the SOFR fixing of 2026-10-27 (3.95%): 4.4158 (data provided by Compound, computed from SOFR published by the Federal Reserve Bank of New York and from SOFR swap trades in DTCC public swap data)</t>
      </text>
    </comment>
    <comment ref="E50" authorId="0">
      <text>
        <t xml:space="preserve">Cited for D50:E50
Market-implied SOFR 1M and 3M forward rates (not CME Term SOFR), 3M rate from 2031-10-29 to 2032-01-29, as of the 2026-10-27 close, computed from 268 SOFR swap trades of 2026-10-27 and the SOFR fixing of 2026-10-27 (3.95%): 4.4423 (data provided by Compound, computed from SOFR published by the Federal Reserve Bank of New York and from SOFR swap trades in DTCC public swap data)</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<sst xmlns="http://schemas.openxmlformats.org/spreadsheetml/2006/main" count="766" uniqueCount="766">
  <si>
    <t>Clearwater Analytics take-private: debt term sheet</t>
  </si>
  <si>
    <t>($ in millions)</t>
  </si>
  <si>
    <t>Term</t>
  </si>
  <si>
    <t>Transaction and general</t>
  </si>
  <si>
    <t>Closing date</t>
  </si>
  <si>
    <t>Total debt commitments</t>
  </si>
  <si>
    <t>Term SOFR, held flat</t>
  </si>
  <si>
    <t>Minimum cash</t>
  </si>
  <si>
    <t>Cash at close</t>
  </si>
  <si>
    <t>LTM Mar-26 Adj. EBITDA (pre-SBC)</t>
  </si>
  <si>
    <t>Sponsor equity funded at close</t>
  </si>
  <si>
    <t>Circularity switch (1 = on)</t>
  </si>
  <si>
    <t>Term loan (senior secured, first lien)</t>
  </si>
  <si>
    <t>Principal funded at close</t>
  </si>
  <si>
    <t>Applicable margin over Term SOFR</t>
  </si>
  <si>
    <t>Term SOFR floor</t>
  </si>
  <si>
    <t>Margin step-down</t>
  </si>
  <si>
    <t>Step-down test: 1L net leverage at or below</t>
  </si>
  <si>
    <t>Step-down first available after</t>
  </si>
  <si>
    <t>Further step-down on an IPO</t>
  </si>
  <si>
    <t>PIK option: maximum share of margin</t>
  </si>
  <si>
    <t>PIK step-up, also paid in kind</t>
  </si>
  <si>
    <t>PIK window (months from close)</t>
  </si>
  <si>
    <t>PIK window ends</t>
  </si>
  <si>
    <t>PIK elected, base case (1 = yes)</t>
  </si>
  <si>
    <t>Cash rate while PIK elected</t>
  </si>
  <si>
    <t>PIK rate while elected</t>
  </si>
  <si>
    <t>All-in rate while PIK elected</t>
  </si>
  <si>
    <t>All-in rate if paid in cash</t>
  </si>
  <si>
    <t>Annual cost of the PIK step-up on funded term loan</t>
  </si>
  <si>
    <t>Tenor (years)</t>
  </si>
  <si>
    <t>Maturity date</t>
  </si>
  <si>
    <t>Scheduled amortization (% of original principal p.a.)</t>
  </si>
  <si>
    <t>Prepayment premium, first 12 months</t>
  </si>
  <si>
    <t>Call protection ends</t>
  </si>
  <si>
    <t>Excess cash flow sweep, base percentage</t>
  </si>
  <si>
    <t>ECF first step-down test (1L net leverage)</t>
  </si>
  <si>
    <t>ECF sweep at or below first test</t>
  </si>
  <si>
    <t>ECF second step-down test (1L net leverage)</t>
  </si>
  <si>
    <t>ECF sweep at or below second test</t>
  </si>
  <si>
    <t>ECF threshold ($m)</t>
  </si>
  <si>
    <t>ECF threshold (% of Consolidated EBITDA)</t>
  </si>
  <si>
    <t>First ECF year end</t>
  </si>
  <si>
    <t>Optional prepayment of excess cash above minimum</t>
  </si>
  <si>
    <t>First optional sweep year end</t>
  </si>
  <si>
    <t>OID and financing fees (% of term loan)</t>
  </si>
  <si>
    <t>OID and financing fees ($m)</t>
  </si>
  <si>
    <t>Fee amortization period (years)</t>
  </si>
  <si>
    <t>Delayed-draw term loan (senior secured, first lien)</t>
  </si>
  <si>
    <t>Commitment</t>
  </si>
  <si>
    <t>Drawn at close</t>
  </si>
  <si>
    <t>Availability period (months from close)</t>
  </si>
  <si>
    <t>Availability ends</t>
  </si>
  <si>
    <t>Use: general corporate purposes cap ($m)</t>
  </si>
  <si>
    <t>Draw condition: pro forma 1L net leverage at or below</t>
  </si>
  <si>
    <t>Applicable margin (same as term loan)</t>
  </si>
  <si>
    <t>Ticking fee: fee-free period (days)</t>
  </si>
  <si>
    <t>Ticking fee: day 91 to first anniversary</t>
  </si>
  <si>
    <t>Ticking fee: first anniversary to end of availability</t>
  </si>
  <si>
    <t>Revolving credit facility (senior secured, first lien)</t>
  </si>
  <si>
    <t>Usable at close</t>
  </si>
  <si>
    <t>Applicable margin on drawings (same as term loan)</t>
  </si>
  <si>
    <t>Commitment fee on unused amount</t>
  </si>
  <si>
    <t>Commitment fee step-down, each</t>
  </si>
  <si>
    <t>First fee step-down: 1L net leverage at or below</t>
  </si>
  <si>
    <t>Second fee step-down: 1L net leverage at or below</t>
  </si>
  <si>
    <t>Financial covenant (revolver only; term loan and DDTL: none)</t>
  </si>
  <si>
    <t>Maximum 1L net leverage</t>
  </si>
  <si>
    <t>Springing trigger: net revolver usage above ($m)</t>
  </si>
  <si>
    <t>Springing trigger: or % of revolver commitments</t>
  </si>
  <si>
    <t>Springing trigger in effect ($m)</t>
  </si>
  <si>
    <t>First possible test date</t>
  </si>
  <si>
    <t>Cash below which a full revolver draw springs the test ($m)</t>
  </si>
  <si>
    <t>Incurrence tests and baskets (memo)</t>
  </si>
  <si>
    <t>Ratio debt, pari first lien: 1L net leverage at or below</t>
  </si>
  <si>
    <t>Free-and-clear incremental: greater of ($m) and 100% of EBITDA</t>
  </si>
  <si>
    <t>Restricted dividends: 1L net leverage at or below</t>
  </si>
  <si>
    <t>Restricted debt payments: 1L net leverage at or below</t>
  </si>
  <si>
    <t>Minimum equity contribution</t>
  </si>
  <si>
    <t>Consolidated EBITDA assumed for basket sizing ($m)</t>
  </si>
  <si>
    <t>Cap on planned run-rate synergy add-backs</t>
  </si>
  <si>
    <t>Value</t>
  </si>
  <si>
    <t>Detail</t>
  </si>
  <si>
    <t>New credit agreement entered and existing debt repaid at close</t>
  </si>
  <si>
    <t>Term loan, delayed-draw term loan and revolver</t>
  </si>
  <si>
    <t/>
  </si>
  <si>
    <t>Operating minimum, as in the LBO model</t>
  </si>
  <si>
    <t>Balance sheet cash left in the business at close</t>
  </si>
  <si>
    <t>Denominator for leverage at close</t>
  </si>
  <si>
    <t>Equity cheque behind the FY2030 IRR</t>
  </si>
  <si>
    <t>Interest on average balances; set to 0, recalculate and reset to 1 to clear an error loop</t>
  </si>
  <si>
    <t>Single draw at close; repaid amounts may not be reborrowed</t>
  </si>
  <si>
    <t>Fixed for the first two full fiscal quarters after close (base rate option: 3.50%)</t>
  </si>
  <si>
    <t>Applies to every benchmark loan</t>
  </si>
  <si>
    <t>One step-down at the leverage test below; range 4.00%-4.50% after the first two quarters</t>
  </si>
  <si>
    <t>Senior Secured First Lien Net Leverage Ratio</t>
  </si>
  <si>
    <t>End of the second full fiscal quarter after close; modeled on prior year-end leverage</t>
  </si>
  <si>
    <t>Not modeled</t>
  </si>
  <si>
    <t>Elected payment by payment, on 3 business days' notice</t>
  </si>
  <si>
    <t>Ratable: 0.125% at 25% PIK, 0.25% at 50% PIK</t>
  </si>
  <si>
    <t>Interest periods selected before the second anniversary of close</t>
  </si>
  <si>
    <t>Last date an interest period can be elected PIK</t>
  </si>
  <si>
    <t>Elected in full through the window, as in the LBO model</t>
  </si>
  <si>
    <t>Term SOFR + 2.25%</t>
  </si>
  <si>
    <t>Half the margin plus the step-up, capitalized</t>
  </si>
  <si>
    <t>Cash plus PIK</t>
  </si>
  <si>
    <t>Term SOFR + 4.50%</t>
  </si>
  <si>
    <t>Before compounding; the price of deferring cash interest</t>
  </si>
  <si>
    <t>Bullet at maturity; lenders may extend individually</t>
  </si>
  <si>
    <t>Seventh anniversary of close</t>
  </si>
  <si>
    <t>No interim amortization</t>
  </si>
  <si>
    <t>Soft call on voluntary prepayments; prepayment from internally generated cash is at par</t>
  </si>
  <si>
    <t>Optional sweep starts in FY2027, after this date</t>
  </si>
  <si>
    <t>Set in the Precedent Credit Agreement, which is not filed; 50% assumed</t>
  </si>
  <si>
    <t>Sweep falls to 25% at or below this level</t>
  </si>
  <si>
    <t>Sweep falls to 0% at or below this level</t>
  </si>
  <si>
    <t>Only ECF above the greater of $105m and 30% of Consolidated EBITDA is swept</t>
  </si>
  <si>
    <t>Modeled on Adj. EBITDA (pre-SBC) as a proxy for Consolidated EBITDA</t>
  </si>
  <si>
    <t>First full fiscal year after close (FY2027); tested on prior year-end leverage</t>
  </si>
  <si>
    <t>Sponsor policy in the LBO model, at par from internally generated cash</t>
  </si>
  <si>
    <t>FY2027, after the soft-call window</t>
  </si>
  <si>
    <t>Facilities fees sit in the Fee and Closing Payment Letter, which is not filed; 2.0% assumed as in the LBO model</t>
  </si>
  <si>
    <t>Capitalized; amortized straight line, non-cash</t>
  </si>
  <si>
    <t>Over the term loan tenor</t>
  </si>
  <si>
    <t>Undrawn at close</t>
  </si>
  <si>
    <t>No draw at close</t>
  </si>
  <si>
    <t>Multiple draws of at least $1.0m; repaid amounts may not be reborrowed</t>
  </si>
  <si>
    <t>Delayed Draw Termination Date</t>
  </si>
  <si>
    <t>Primary use: acquisitions, other investments and capex; also revolver refinancing</t>
  </si>
  <si>
    <t>Tested on each draw, pro forma for the acquisition</t>
  </si>
  <si>
    <t>Margin, maturity and amortization as the term loan; DDTL loans are Term Loans</t>
  </si>
  <si>
    <t>0.00% for the first 90 days</t>
  </si>
  <si>
    <t>On the undrawn amount, quarterly in arrears</t>
  </si>
  <si>
    <t>Multi-currency; letter of credit sublimit of at least $81.25m</t>
  </si>
  <si>
    <t>Cap on closing-date use for consideration and general purposes</t>
  </si>
  <si>
    <t>Undrawn at close; draws only to cover a cash shortfall</t>
  </si>
  <si>
    <t>No amortization or commitment reductions</t>
  </si>
  <si>
    <t>Same pricing options as the term loan; no PIK option</t>
  </si>
  <si>
    <t>Payable quarterly from close</t>
  </si>
  <si>
    <t>Two step-downs; floor of 0.25%</t>
  </si>
  <si>
    <t>No step-downs; equity cure rights as in the Precedent Credit Agreement</t>
  </si>
  <si>
    <t>Revolver loans plus drawn LCs, less unrestricted cash</t>
  </si>
  <si>
    <t>Whichever is greater</t>
  </si>
  <si>
    <t>Greater of the two</t>
  </si>
  <si>
    <t>Last day of the second full fiscal quarter after close, if the trigger is met</t>
  </si>
  <si>
    <t>With cash above this, even a fully drawn revolver stays under the trigger</t>
  </si>
  <si>
    <t>Or no worse than before the incurrence</t>
  </si>
  <si>
    <t>Plus voluntary prepayments</t>
  </si>
  <si>
    <t>Unlimited below this level</t>
  </si>
  <si>
    <t>Of equity plus debt funded at close</t>
  </si>
  <si>
    <t>Above the $280.5m LTM Adj. EBITDA at close</t>
  </si>
  <si>
    <t>Of Consolidated EBITDA, per four-quarter period</t>
  </si>
  <si>
    <t>Source</t>
  </si>
  <si>
    <t>Form 8-K (25-Jun-26), Items 1.01-1.02</t>
  </si>
  <si>
    <t>DEFM14A p. 95; Debt commitment letter (21-Jan-26) Exh. A p. A-2</t>
  </si>
  <si>
    <t/>
  </si>
  <si>
    <t>LBO model, Model!I6</t>
  </si>
  <si>
    <t/>
  </si>
  <si>
    <t/>
  </si>
  <si>
    <t/>
  </si>
  <si>
    <t>Assumption</t>
  </si>
  <si>
    <t>Debt commitment letter (21-Jan-26) Exh. A p. A-2; Form 8-K Item 1.01</t>
  </si>
  <si>
    <t>Debt commitment letter (21-Jan-26) Annex I p. I-1; DEFM14A p. 98</t>
  </si>
  <si>
    <t>Debt commitment letter (21-Jan-26) Annex I p. I-1</t>
  </si>
  <si>
    <t>LBO model, Model!I21</t>
  </si>
  <si>
    <t>Calculated</t>
  </si>
  <si>
    <t>Debt commitment letter (21-Jan-26) Exh. B p. B-8; DEFM14A p. 98</t>
  </si>
  <si>
    <t>Debt commitment letter (21-Jan-26) Exh. B pp. B-9-B-10; DEFM14A p. 98</t>
  </si>
  <si>
    <t>Debt commitment letter (21-Jan-26) Exh. B p. B-9</t>
  </si>
  <si>
    <t>LBO model, Model!M9</t>
  </si>
  <si>
    <t>LBO model, Model!M10</t>
  </si>
  <si>
    <t>Debt commitment letter (21-Jan-26) Exh. A p. A-2; DEFM14A p. 95</t>
  </si>
  <si>
    <t>LBO model, Model!F16</t>
  </si>
  <si>
    <t>Debt commitment letter (21-Jan-26) Exh. B p. B-2; DEFM14A p. 98</t>
  </si>
  <si>
    <t>Debt commitment letter (21-Jan-26) Exh. B p. B-2</t>
  </si>
  <si>
    <t>Debt commitment letter (21-Jan-26) Annex I p. I-2; DEFM14A p. 98</t>
  </si>
  <si>
    <t>Debt commitment letter (21-Jan-26) Annex I p. I-2</t>
  </si>
  <si>
    <t>Debt commitment letter (21-Jan-26) Exh. B p. B-1</t>
  </si>
  <si>
    <t>Debt commitment letter (21-Jan-26) Exh. B pp. B-6-B-7; DEFM14A p. 95</t>
  </si>
  <si>
    <t>LBO model, Model!F14</t>
  </si>
  <si>
    <t>Debt commitment letter (21-Jan-26) Exh. B p. B-8</t>
  </si>
  <si>
    <t>DEFM14A p. 98</t>
  </si>
  <si>
    <t>Debt commitment letter (21-Jan-26) Exh. B p. B-12; DEFM14A p. 99</t>
  </si>
  <si>
    <t>Debt commitment letter (21-Jan-26) Exh. B p. B-12</t>
  </si>
  <si>
    <t>Debt commitment letter (21-Jan-26) Exh. B p. B-3</t>
  </si>
  <si>
    <t>Debt commitment letter (21-Jan-26) Exh. B p. B-4</t>
  </si>
  <si>
    <t>Debt commitment letter (21-Jan-26) Exh. B p. B-11</t>
  </si>
  <si>
    <t>Debt commitment letter (21-Jan-26) Exh. A p. A-1</t>
  </si>
  <si>
    <t>Debt commitment letter (21-Jan-26) Exh. B p. B-10</t>
  </si>
  <si>
    <t>Debt commitment letter (21-Jan-26) Exh. B p. B-5</t>
  </si>
  <si>
    <t>Clearwater Analytics take-private: debt scenarios</t>
  </si>
  <si>
    <t>Scenario selector</t>
  </si>
  <si>
    <t/>
  </si>
  <si>
    <t>Live scenario</t>
  </si>
  <si>
    <t/>
  </si>
  <si>
    <t>2  PIK paid in cash: full margin paid in cash from close</t>
  </si>
  <si>
    <t>3  Add-on (illustrative): $500m delayed draw fully drawn in FY2027</t>
  </si>
  <si>
    <t>4  Term SOFR +100bp</t>
  </si>
  <si>
    <t>5  Term SOFR -100bp</t>
  </si>
  <si>
    <t>Scenario drivers (live)</t>
  </si>
  <si>
    <t>PIK elected (1 = yes)</t>
  </si>
  <si>
    <t>Add-on drawn (1 = yes)</t>
  </si>
  <si>
    <t>Term SOFR shift</t>
  </si>
  <si>
    <t>Add-on and rate inputs (illustrative)</t>
  </si>
  <si>
    <t>Add-on closes in fiscal year ending</t>
  </si>
  <si>
    <t>Delayed draw used for the add-on</t>
  </si>
  <si>
    <t>Purchase multiple: EV / EBITDA (illustrative)</t>
  </si>
  <si>
    <t>Acquired Adj. EBITDA, run-rate</t>
  </si>
  <si>
    <t>Share of first-year EBITDA owned (mid-year close)</t>
  </si>
  <si>
    <t>Acquired EBITDA growth p.a.</t>
  </si>
  <si>
    <t>FCF conversion of acquired EBITDA (after tax, capex, NWC)</t>
  </si>
  <si>
    <t>Exit multiple on acquired EBITDA (= purchase multiple)</t>
  </si>
  <si>
    <t>Term SOFR shock (+/-)</t>
  </si>
  <si>
    <t>Clearwater Analytics take-private: debt schedule</t>
  </si>
  <si>
    <t>($ in millions; fiscal years ending 31-Dec; FY2026 runs from the 25-Jun-26 close)</t>
  </si>
  <si>
    <t>Fiscal year</t>
  </si>
  <si>
    <t>Fraction of year post-close</t>
  </si>
  <si>
    <t>Operating case (linked from the LBO model)</t>
  </si>
  <si>
    <t>Revenue</t>
  </si>
  <si>
    <t>Adj. EBITDA (pre-SBC)</t>
  </si>
  <si>
    <t>SBC, treated as a cash cost</t>
  </si>
  <si>
    <t>Capex (% of revenue)</t>
  </si>
  <si>
    <t>NWC investment (% of revenue)</t>
  </si>
  <si>
    <t>Contract cost amortization (% of revenue)</t>
  </si>
  <si>
    <t>FCF after tax and capex, pre-interest (period)</t>
  </si>
  <si>
    <t>Capex (period)</t>
  </si>
  <si>
    <t>Cash taxes (period, implied)</t>
  </si>
  <si>
    <t>Add-on: acquired Adj. EBITDA, run-rate</t>
  </si>
  <si>
    <t>Add-on: acquired Adj. EBITDA (period)</t>
  </si>
  <si>
    <t>Add-on: FCF contribution (period)</t>
  </si>
  <si>
    <t>Adj. EBITDA (pre-SBC), pro forma ($m)</t>
  </si>
  <si>
    <t>FCF available, pre-interest ($m)</t>
  </si>
  <si>
    <t>Interest rates</t>
  </si>
  <si>
    <t/>
  </si>
  <si>
    <t>Term SOFR, floored</t>
  </si>
  <si>
    <t>Applicable margin (step-down on prior year-end 1L net leverage)</t>
  </si>
  <si>
    <t>Share of period with PIK elected</t>
  </si>
  <si>
    <t>Term loan and DDTL cash rate</t>
  </si>
  <si>
    <t>Term loan and DDTL PIK rate</t>
  </si>
  <si>
    <t>Revolver drawn rate</t>
  </si>
  <si>
    <t>Revolver commitment fee</t>
  </si>
  <si>
    <t>DDTL ticking fee, time-weighted</t>
  </si>
  <si>
    <t>Interest income rate on cash</t>
  </si>
  <si>
    <t>Cash available for debt service and sweep</t>
  </si>
  <si>
    <t>FCF available, pre-interest</t>
  </si>
  <si>
    <t>(–) Cash interest and fees</t>
  </si>
  <si>
    <t>(+) Interest income on cash</t>
  </si>
  <si>
    <t>(–) Scheduled amortization</t>
  </si>
  <si>
    <t>(–) Add-on purchase price</t>
  </si>
  <si>
    <t>(+) Delayed draw funding</t>
  </si>
  <si>
    <t>(+) Beginning cash less minimum cash</t>
  </si>
  <si>
    <t>Cash available for debt service ($m)</t>
  </si>
  <si>
    <t>(+) Revolver draw / (–) repayment</t>
  </si>
  <si>
    <t>Cash available for term loan prepayment ($m)</t>
  </si>
  <si>
    <t>ECF sweep % (prior year-end 1L net leverage)</t>
  </si>
  <si>
    <t>ECF threshold</t>
  </si>
  <si>
    <t>Term loans outstanding before prepayment</t>
  </si>
  <si>
    <t>(–) Required ECF prepayment</t>
  </si>
  <si>
    <t>(–) Optional prepayment (cash sweep)</t>
  </si>
  <si>
    <t>Excess cash retained ($m)</t>
  </si>
  <si>
    <t>Revolving credit facility</t>
  </si>
  <si>
    <t>Beginning balance</t>
  </si>
  <si>
    <t>(+) Draw / (–) repayment</t>
  </si>
  <si>
    <t>Ending balance ($m)</t>
  </si>
  <si>
    <t>Undrawn commitment</t>
  </si>
  <si>
    <t>Cash interest on drawings</t>
  </si>
  <si>
    <t>Commitment fee on undrawn</t>
  </si>
  <si>
    <t>Term loan</t>
  </si>
  <si>
    <t>(+) PIK interest accrued</t>
  </si>
  <si>
    <t>(–) Optional prepayment</t>
  </si>
  <si>
    <t>Average balance</t>
  </si>
  <si>
    <t>Cash interest</t>
  </si>
  <si>
    <t>Delayed-draw term loan</t>
  </si>
  <si>
    <t>(+) Draws</t>
  </si>
  <si>
    <t>Cumulative draws</t>
  </si>
  <si>
    <t>Undrawn commitment (available to Dec-28)</t>
  </si>
  <si>
    <t>Ticking fee on undrawn</t>
  </si>
  <si>
    <t>Financing fees and OID (non-cash)</t>
  </si>
  <si>
    <t>(–) Amortization</t>
  </si>
  <si>
    <t>Interest expense</t>
  </si>
  <si>
    <t>Term loan cash interest</t>
  </si>
  <si>
    <t>DDTL cash interest</t>
  </si>
  <si>
    <t>Revolver cash interest</t>
  </si>
  <si>
    <t>DDTL ticking fee</t>
  </si>
  <si>
    <t>Cash interest and fees ($m)</t>
  </si>
  <si>
    <t>PIK interest (non-cash)</t>
  </si>
  <si>
    <t>Fee and OID amortization (non-cash)</t>
  </si>
  <si>
    <t>Total interest expense ($m)</t>
  </si>
  <si>
    <t>Interest income on cash</t>
  </si>
  <si>
    <t>Cash</t>
  </si>
  <si>
    <t>Beginning cash</t>
  </si>
  <si>
    <t>Change in cash</t>
  </si>
  <si>
    <t>Ending cash ($m)</t>
  </si>
  <si>
    <t>Debt summary</t>
  </si>
  <si>
    <t>Revolver</t>
  </si>
  <si>
    <t>Total debt, incl. PIK ($m)</t>
  </si>
  <si>
    <t>(–) Cash</t>
  </si>
  <si>
    <t>Net debt ($m)</t>
  </si>
  <si>
    <t>Total debt / Adj. EBITDA</t>
  </si>
  <si>
    <t>1L net leverage: net debt / Adj. EBITDA (all debt first lien)</t>
  </si>
  <si>
    <t>Sponsor returns by exit year (NTM multiple, as in the LBO model)</t>
  </si>
  <si>
    <t>Exit multiple: TEV / NTM Adj. EBITDA</t>
  </si>
  <si>
    <t>NTM Adj. EBITDA, platform</t>
  </si>
  <si>
    <t>NTM Adj. EBITDA, add-on</t>
  </si>
  <si>
    <t>Exit enterprise value</t>
  </si>
  <si>
    <t>(–) Total debt, incl. PIK</t>
  </si>
  <si>
    <t>(+) Cash</t>
  </si>
  <si>
    <t>Exit equity value ($m)</t>
  </si>
  <si>
    <t>Sponsor equity invested</t>
  </si>
  <si>
    <t>MOIC</t>
  </si>
  <si>
    <t>IRR</t>
  </si>
  <si>
    <t/>
  </si>
  <si>
    <t>Net debt per LBO model</t>
  </si>
  <si>
    <t>Net debt per this schedule</t>
  </si>
  <si>
    <t>Difference</t>
  </si>
  <si>
    <t>IRR per LBO model (selected exit, XIRR)</t>
  </si>
  <si>
    <t>IRR per this schedule</t>
  </si>
  <si>
    <t>Outside-in case</t>
  </si>
  <si>
    <t>Management case</t>
  </si>
  <si>
    <t>Clearwater Analytics take-private: credit statistics</t>
  </si>
  <si>
    <t>($ in millions; leverage on Adj. EBITDA (pre-SBC) as a proxy for covenant Consolidated EBITDA; FY2026 coverage on the post-close stub)</t>
  </si>
  <si>
    <t>Balances and EBITDA</t>
  </si>
  <si>
    <t>Adj. EBITDA (pre-SBC), pro forma; LTM Mar-26 at close</t>
  </si>
  <si>
    <t>Adj. EBITDA (pre-SBC), period</t>
  </si>
  <si>
    <t>Total debt, incl. PIK</t>
  </si>
  <si>
    <t>Leverage</t>
  </si>
  <si>
    <t>Total debt / Adj. EBITDA (gross leverage)</t>
  </si>
  <si>
    <t>Net debt / Adj. EBITDA (net leverage)</t>
  </si>
  <si>
    <t>1L net leverage (all debt is first lien)</t>
  </si>
  <si>
    <t>Headroom to margin step-down test (7.50x)</t>
  </si>
  <si>
    <t>Headroom to restricted dividend test (7.25x)</t>
  </si>
  <si>
    <t>Headroom to DDTL draw test (8.00x)</t>
  </si>
  <si>
    <t/>
  </si>
  <si>
    <t>Coverage</t>
  </si>
  <si>
    <t>Cash interest and fees</t>
  </si>
  <si>
    <t>Adj. EBITDA / cash interest</t>
  </si>
  <si>
    <t>Adj. EBITDA / cash and PIK interest</t>
  </si>
  <si>
    <t>(–) Capex</t>
  </si>
  <si>
    <t>(–) Cash taxes</t>
  </si>
  <si>
    <t>Scheduled principal</t>
  </si>
  <si>
    <t>Fixed-charge coverage: (Adj. EBITDA - capex - cash taxes) / (cash interest + scheduled principal)</t>
  </si>
  <si>
    <t>Cash available for debt service / total debt</t>
  </si>
  <si>
    <t>Cumulative debt paydown since close</t>
  </si>
  <si>
    <t>Liquidity: cash + undrawn revolver</t>
  </si>
  <si>
    <t>Springing financial covenant (revolver only)</t>
  </si>
  <si>
    <t>Net revolver usage: revolver drawn - cash</t>
  </si>
  <si>
    <t>Springing trigger</t>
  </si>
  <si>
    <t>Covenant tested at year end?</t>
  </si>
  <si>
    <t>Additional revolver draw that would spring the test</t>
  </si>
  <si>
    <t>Undrawn revolver</t>
  </si>
  <si>
    <t>1L net leverage</t>
  </si>
  <si>
    <t>Headroom (turns)</t>
  </si>
  <si>
    <t>EBITDA cushion before the covenant bites (%)</t>
  </si>
  <si>
    <t>EBITDA cushion before the covenant bites ($m)</t>
  </si>
  <si>
    <t>Scenario comparison: outside-in case</t>
  </si>
  <si>
    <t>Scenario</t>
  </si>
  <si>
    <t>Scenario number</t>
  </si>
  <si>
    <t>FY2030 total debt, incl. PIK</t>
  </si>
  <si>
    <t>FY2030 net debt</t>
  </si>
  <si>
    <t>FY2030 total debt / Adj. EBITDA</t>
  </si>
  <si>
    <t>FY2030 1L net leverage</t>
  </si>
  <si>
    <t/>
  </si>
  <si>
    <t>Peak 1L net leverage, FY2026-FY2031</t>
  </si>
  <si>
    <t/>
  </si>
  <si>
    <t/>
  </si>
  <si>
    <t/>
  </si>
  <si>
    <t>Cumulative cash interest and fees, FY2026-FY2030</t>
  </si>
  <si>
    <t>Cumulative PIK interest, FY2026-FY2030</t>
  </si>
  <si>
    <t/>
  </si>
  <si>
    <t/>
  </si>
  <si>
    <t>Peak revolver balance</t>
  </si>
  <si>
    <t/>
  </si>
  <si>
    <t/>
  </si>
  <si>
    <t>Scenario comparison: management case</t>
  </si>
  <si>
    <t>Change vs. base</t>
  </si>
  <si>
    <t>Metric</t>
  </si>
  <si>
    <t>Live</t>
  </si>
  <si>
    <t>Base</t>
  </si>
  <si>
    <t>PIK paid in cash</t>
  </si>
  <si>
    <t>Add-on (illustrative)</t>
  </si>
  <si>
    <t>SOFR +100bp</t>
  </si>
  <si>
    <t>SOFR -100bp</t>
  </si>
  <si>
    <t>Clearwater Analytics take-private: debt output</t>
  </si>
  <si>
    <t>Tranche summary ($ in millions)</t>
  </si>
  <si>
    <t>Tranche</t>
  </si>
  <si>
    <t>Total</t>
  </si>
  <si>
    <t>Source: debt commitment letter (21-Jan-26) and DEFM14A pp. 95-99. Revolver usable at close capped at $81.25m; unused fee 0.50% stepping to 0.25%; DDTL ticking fee 0.50%, then 1.00%; 1.00% soft call for 12 months.</t>
  </si>
  <si>
    <t>Debt schedule: outside-in case ($ in millions)</t>
  </si>
  <si>
    <t>Cash available for debt service</t>
  </si>
  <si>
    <t>(–) Term loan prepayment (ECF and optional)</t>
  </si>
  <si>
    <t>PIK interest accrued</t>
  </si>
  <si>
    <t>Term loan, incl. PIK</t>
  </si>
  <si>
    <t>Total debt</t>
  </si>
  <si>
    <t>Net debt</t>
  </si>
  <si>
    <t>Credit statistics ($ in millions)</t>
  </si>
  <si>
    <t>1L net leverage (margin step-down at 7.50x)</t>
  </si>
  <si>
    <t/>
  </si>
  <si>
    <t>EBITDA cushion to the 15.00x springing covenant</t>
  </si>
  <si>
    <t/>
  </si>
  <si>
    <t/>
  </si>
  <si>
    <t/>
  </si>
  <si>
    <t/>
  </si>
  <si>
    <t>Add-on: $500m DDTL drawn FY2027 (illustrative)</t>
  </si>
  <si>
    <t>Term SOFR +100bp</t>
  </si>
  <si>
    <t>Term SOFR -100bp</t>
  </si>
  <si>
    <t/>
  </si>
  <si>
    <t/>
  </si>
  <si>
    <t/>
  </si>
  <si>
    <t>Funded at close</t>
  </si>
  <si>
    <t/>
  </si>
  <si>
    <t>Margin</t>
  </si>
  <si>
    <t>Peak revolver</t>
  </si>
  <si>
    <t>SOFR floor</t>
  </si>
  <si>
    <t/>
  </si>
  <si>
    <t>PIK option</t>
  </si>
  <si>
    <t>None</t>
  </si>
  <si>
    <t/>
  </si>
  <si>
    <t>As term loan</t>
  </si>
  <si>
    <t>Amortization</t>
  </si>
  <si>
    <t>Maturity</t>
  </si>
  <si>
    <t/>
  </si>
  <si>
    <t>Up to 50% to Jun-28</t>
  </si>
  <si>
    <t>Cash tax inputs (linked from the LBO model; used for the Downside cash tax build)</t>
  </si>
  <si>
    <t>§163(j) interest cap (% of EBITDA)</t>
  </si>
  <si>
    <t>Cash tax rate</t>
  </si>
  <si>
    <t>DTA usage cap (% of tax)</t>
  </si>
  <si>
    <t>DTA, net, 31-Mar-26</t>
  </si>
  <si>
    <t>Interest deduction capped; excess carried forward</t>
  </si>
  <si>
    <t>On taxable income after the §163(j) deduction</t>
  </si>
  <si>
    <t>Share of each year's tax that the DTA can shelter</t>
  </si>
  <si>
    <t>Opening DTA available</t>
  </si>
  <si>
    <t>LBO model, Model!I9</t>
  </si>
  <si>
    <t>LBO model, Model!I7</t>
  </si>
  <si>
    <t>LBO model, Model!I8</t>
  </si>
  <si>
    <t>LBO model, Model!I10</t>
  </si>
  <si>
    <t>Downside operating build (drivers from the LBO sensitivity model)</t>
  </si>
  <si>
    <t>FY2025A revenue (reported)</t>
  </si>
  <si>
    <t>Revenue growth</t>
  </si>
  <si>
    <t>Adj. EBITDA margin (pre-SBC)</t>
  </si>
  <si>
    <t>Depreciation (% of capex)</t>
  </si>
  <si>
    <t>Downside cash tax build (§163(j) and DTA, as in the LBO model)</t>
  </si>
  <si>
    <t>(–) Depreciation (period)</t>
  </si>
  <si>
    <t>Adj. EBIT, post-SBC (period)</t>
  </si>
  <si>
    <t>Net interest expense, incl. PIK and fee amortization</t>
  </si>
  <si>
    <t>§163(j) carryforward, opening</t>
  </si>
  <si>
    <t>§163(j) cap</t>
  </si>
  <si>
    <t>Interest deducted</t>
  </si>
  <si>
    <t>§163(j) carryforward, closing</t>
  </si>
  <si>
    <t>Taxable income</t>
  </si>
  <si>
    <t>Tax at cash tax rate</t>
  </si>
  <si>
    <t>DTA, opening</t>
  </si>
  <si>
    <t>(–) DTA utilized</t>
  </si>
  <si>
    <t>DTA, closing</t>
  </si>
  <si>
    <t>Cash taxes ($m)</t>
  </si>
  <si>
    <t>FY2030 returns at the outside-in exit multiple (25.0x)</t>
  </si>
  <si>
    <t>Exit multiple: TEV / NTM Adj. EBITDA (outside-in case)</t>
  </si>
  <si>
    <t>Downside case</t>
  </si>
  <si>
    <t>Revolver and liquidity</t>
  </si>
  <si>
    <t>Revolver draw / (repayment)</t>
  </si>
  <si>
    <t>Revolver balance, year end</t>
  </si>
  <si>
    <t>Peak revolver usage to date</t>
  </si>
  <si>
    <t>Cash above / (below) the $75m minimum</t>
  </si>
  <si>
    <t>Leverage tests at year end (1L net leverage)</t>
  </si>
  <si>
    <t>Margin step-down test met (at or below 7.50x)?</t>
  </si>
  <si>
    <t>ECF sweep percentage applied (prior year-end test)</t>
  </si>
  <si>
    <t>Required ECF prepayment</t>
  </si>
  <si>
    <t>ECF sweep stepped down to 0% (at or below 7.50x)?</t>
  </si>
  <si>
    <t>DDTL draw test met (at or below 8.00x; available to 25-Dec-28)?</t>
  </si>
  <si>
    <t>Live scenario (1 to 6; 1 = base case)</t>
  </si>
  <si>
    <t>6  Term SOFR +200bp (Downside stress)</t>
  </si>
  <si>
    <t>Term SOFR stress (+), scenario 6</t>
  </si>
  <si>
    <t>FY2027 1L net leverage</t>
  </si>
  <si>
    <t>Minimum Adj. EBITDA / cash interest, FY2026-FY2031</t>
  </si>
  <si>
    <t>Minimum Adj. EBITDA / cash and PIK interest, FY2026-FY2031</t>
  </si>
  <si>
    <t>Minimum fixed-charge coverage, FY2026-FY2031</t>
  </si>
  <si>
    <t>Minimum year-end cash, FY2026-FY2031</t>
  </si>
  <si>
    <t>Years above the 7.50x step-down test</t>
  </si>
  <si>
    <t>Years above the 8.00x DDTL draw test, through FY2028</t>
  </si>
  <si>
    <t>Years the springing covenant is tested</t>
  </si>
  <si>
    <t>Minimum EBITDA cushion to the 15.00x covenant</t>
  </si>
  <si>
    <t>FY2030 MOIC, case exit multiple</t>
  </si>
  <si>
    <t>FY2030 IRR, case exit multiple</t>
  </si>
  <si>
    <t>FY2030 MOIC, 25.0x exit</t>
  </si>
  <si>
    <t>FY2030 IRR, 25.0x exit</t>
  </si>
  <si>
    <t>Scenario comparison: Downside case</t>
  </si>
  <si>
    <t>Downside stress by year: Downside, Downside with PIK paid in cash, Downside with Term SOFR +200bp</t>
  </si>
  <si>
    <t>Metric / scenario</t>
  </si>
  <si>
    <t>Downside</t>
  </si>
  <si>
    <t>Downside, PIK paid in cash</t>
  </si>
  <si>
    <t>Downside, Term SOFR +200bp</t>
  </si>
  <si>
    <t>Margin step-down test met (7.50x)?</t>
  </si>
  <si>
    <t>ECF sweep stepped down to 0% (7.50x)?</t>
  </si>
  <si>
    <t>DDTL draw test met (8.00x)?</t>
  </si>
  <si>
    <t>Springing covenant tested?</t>
  </si>
  <si>
    <t>EBITDA cushion to the 15.00x covenant</t>
  </si>
  <si>
    <t>Downside FY2030 returns</t>
  </si>
  <si>
    <t>=CHOOSE(C6,"Base","PIK paid in cash","Add-on (illustrative)","Term SOFR +100bp","Term SOFR -100bp","Term SOFR +200bp")</t>
  </si>
  <si>
    <t>Scenario no.</t>
  </si>
  <si>
    <t/>
  </si>
  <si>
    <t>MOIC, own entry multiple</t>
  </si>
  <si>
    <t>IRR, 25.0x exit</t>
  </si>
  <si>
    <t>MOIC, 25.0x exit</t>
  </si>
  <si>
    <t>SOFR +200bp</t>
  </si>
  <si>
    <t/>
  </si>
  <si>
    <t>Scenario comparison ($ in millions)</t>
  </si>
  <si>
    <t/>
  </si>
  <si>
    <t/>
  </si>
  <si>
    <t>FY2030</t>
  </si>
  <si>
    <t>Minimum coverage, FY2026-FY2031</t>
  </si>
  <si>
    <t>EBITDA / cash interest</t>
  </si>
  <si>
    <t>EBITDA / cash and PIK interest</t>
  </si>
  <si>
    <t>FY2030 returns</t>
  </si>
  <si>
    <t>IRR, case exit multiple</t>
  </si>
  <si>
    <t/>
  </si>
  <si>
    <t/>
  </si>
  <si>
    <t>Deferred awards (linked from the LBO model)</t>
  </si>
  <si>
    <t>Deferred award liability at close</t>
  </si>
  <si>
    <t>Deferred award payout ends</t>
  </si>
  <si>
    <t/>
  </si>
  <si>
    <t>Even payout from close (assumption: the FY2025 10-K gives vesting terms but no by-year schedule)</t>
  </si>
  <si>
    <t>LBO model, Model!E21</t>
  </si>
  <si>
    <t>LBO model, Model!I113</t>
  </si>
  <si>
    <t>LBO model, Model!U20</t>
  </si>
  <si>
    <t>LBO model, Model!E34</t>
  </si>
  <si>
    <t>LBO model, Model!I12</t>
  </si>
  <si>
    <t/>
  </si>
  <si>
    <t/>
  </si>
  <si>
    <t>(–) Deferred award liability, net of tax</t>
  </si>
  <si>
    <t/>
  </si>
  <si>
    <t>Case exit multiple: 25.0x outside-in, 24.8x management, 26.8x Downside (own entry multiple). Add-on illustrative: $500m DDTL at 15.0x EBITDA.</t>
  </si>
  <si>
    <t>IRR, own entry multiple (26.8x)</t>
  </si>
  <si>
    <t>(–) Deferred award payout above SBC as cash</t>
  </si>
  <si>
    <t>Unvested RSU (net of pre-close releases), PSU (at maximum) and Enfusion cash awards; paid as they vest, within SBC as cash; tax-deductible when paid</t>
  </si>
  <si>
    <t>LBO model, Model!G48 and Q28:U37; DEFM14A pp. 105, 118; Form 10-Q Q1'26</t>
  </si>
  <si>
    <t>Leverage on Adj. EBITDA (pre-SBC); FY2026 coverage on the post-close stub. Downside: growth 3pp and margin 1.5pp below outside-in. Deferred award payout sits within SBC as cash. Springing covenant not tested in any case or stress run (42.7% minimum EBITDA cushion, Downside with Term SOFR +200bp).</t>
  </si>
  <si>
    <t>Clearwater Analytics take-private: market-implied SOFR forward curve</t>
  </si>
  <si>
    <t>(percent; close of 27-Oct-26; quarterly resets to 2031; fiscal years ending 31-Dec; FY2026 runs from the 25-Jun-26 close)</t>
  </si>
  <si>
    <t>Built by Compound from the day's SOFR overnight index swap trades (DTCC public data) and the NY Fed SOFR fixing: market-implied compounded SOFR, simple ACT/360, stepping at each FOMC meeting for ~15 months. It is not CME Term SOFR, which has no published forward curve.</t>
  </si>
  <si>
    <t>SOFR is subject to the Terms of Use posted at newyorkfed.org. The New York Fed is not responsible for publication of SOFR by Compound, does not sanction or endorse any particular republication, and has no liability for your use.</t>
  </si>
  <si>
    <t>Curve inputs</t>
  </si>
  <si>
    <t>Curve close (latest fully built curve; 28-Oct-26 is provisional)</t>
  </si>
  <si>
    <t>SOFR swap trades in the fit</t>
  </si>
  <si>
    <t>Tenor used in the schedule (3 = 3M, 1 = 1M)</t>
  </si>
  <si>
    <t>Term SOFR held flat in the 21-Oct-26 schedule</t>
  </si>
  <si>
    <t>Fiscal-year average SOFR (feeds the debt schedule)</t>
  </si>
  <si>
    <t>Days in period</t>
  </si>
  <si>
    <t>Of which on realized SOFR fixings</t>
  </si>
  <si>
    <t>1M forward, fiscal-year average</t>
  </si>
  <si>
    <t>3M forward, fiscal-year average</t>
  </si>
  <si>
    <t>SOFR for the schedule, fiscal-year average</t>
  </si>
  <si>
    <t>Term SOFR held flat (21-Oct-26 schedule)</t>
  </si>
  <si>
    <t>Curve less flat (bp)</t>
  </si>
  <si>
    <t>Days covered by the quarterly curve</t>
  </si>
  <si>
    <t>Quarterly forward curve (reset every third month from spot)</t>
  </si>
  <si>
    <t>Date</t>
  </si>
  <si>
    <t>Realized SOFR fixings, close to curve spot (NY Fed)</t>
  </si>
  <si>
    <t>1M (%)</t>
  </si>
  <si>
    <t>SOFR (%)</t>
  </si>
  <si>
    <t>3M (%)</t>
  </si>
  <si>
    <t>Period end</t>
  </si>
  <si>
    <t>Applies to</t>
  </si>
  <si>
    <t>Days</t>
  </si>
  <si>
    <t>Basis</t>
  </si>
  <si>
    <t/>
  </si>
  <si>
    <t>Forward</t>
  </si>
  <si>
    <t>Schedule tenor (%)</t>
  </si>
  <si>
    <t>Days of each period in fiscal year</t>
  </si>
  <si>
    <t>Clearwater Analytics take-private: SOFR rate paths and hedges</t>
  </si>
  <si>
    <t>($ in millions; rates in percent; hedge settlements ACT/360 on the quarterly curve)</t>
  </si>
  <si>
    <t>Case selector</t>
  </si>
  <si>
    <t>Live case (1 to 15; drives every tab)</t>
  </si>
  <si>
    <t>Rate path (1 flat, 2 curve, 3 curve +100bp, 4 curve +200bp, 5 peak held)</t>
  </si>
  <si>
    <t>Hedge (0 none, 1 cap, 2 swap)</t>
  </si>
  <si>
    <t>Live case</t>
  </si>
  <si>
    <t>Rate and hedge inputs</t>
  </si>
  <si>
    <t>Parallel shock to the forward curve, path 3</t>
  </si>
  <si>
    <t>Parallel shock to the forward curve, path 4</t>
  </si>
  <si>
    <t>Hedged share of the term loan</t>
  </si>
  <si>
    <t>Hedge notional ($m)</t>
  </si>
  <si>
    <t>Hedge term (months from close)</t>
  </si>
  <si>
    <t>Hedge effective date (later of close and curve spot)</t>
  </si>
  <si>
    <t>Hedge maturity</t>
  </si>
  <si>
    <t>Peak 3M forward resetting within the hedge term</t>
  </si>
  <si>
    <t>Cap strike rounding increment</t>
  </si>
  <si>
    <t>Cap strike: peak forward rounded up</t>
  </si>
  <si>
    <t>Swap fixed rate: par rate the 3M curve implies over the hedge term</t>
  </si>
  <si>
    <t>Peak forward level (peak-held path)</t>
  </si>
  <si>
    <t>Cap premium</t>
  </si>
  <si>
    <t>Quarterly SOFR by rate path</t>
  </si>
  <si>
    <t>Fiscal-year results by rate path</t>
  </si>
  <si>
    <t>SOFR, fiscal-year average</t>
  </si>
  <si>
    <t>Flat (21-Oct-26 schedule)</t>
  </si>
  <si>
    <t>Forward curve</t>
  </si>
  <si>
    <t>Curve +100bp</t>
  </si>
  <si>
    <t>Curve +200bp</t>
  </si>
  <si>
    <t>Peak forward held</t>
  </si>
  <si>
    <t>SOFR on the live rate path (feeds the debt schedule)</t>
  </si>
  <si>
    <t>Cap payout received ($m)</t>
  </si>
  <si>
    <t>Swap net settlement paid / (received) ($m)</t>
  </si>
  <si>
    <t>Hedge settlement paid / (received) on the live case ($m)</t>
  </si>
  <si>
    <t>Not priced</t>
  </si>
  <si>
    <t>Flat</t>
  </si>
  <si>
    <t>Curve</t>
  </si>
  <si>
    <t>+100bp</t>
  </si>
  <si>
    <t>+200bp</t>
  </si>
  <si>
    <t>Peak held</t>
  </si>
  <si>
    <t>Hedge days</t>
  </si>
  <si>
    <t>Accrual (yrs)</t>
  </si>
  <si>
    <t>Disc. factor</t>
  </si>
  <si>
    <t>Hedge accrual</t>
  </si>
  <si>
    <t>Hedge days in fiscal year</t>
  </si>
  <si>
    <t>Day count basis for hedge settlements (ACT/360)</t>
  </si>
  <si>
    <t>Term SOFR (live rate path on Rate Cases, plus scenario shift)</t>
  </si>
  <si>
    <t>Interest rate hedge settlement paid / (received)</t>
  </si>
  <si>
    <t>Case results: what-if data table on the live case (outside-in case unless marked Downside)</t>
  </si>
  <si>
    <t>Rate path</t>
  </si>
  <si>
    <t>Hedge</t>
  </si>
  <si>
    <t>Case</t>
  </si>
  <si>
    <t>SOFR, floored, FY2026</t>
  </si>
  <si>
    <t>SOFR, floored, FY2027</t>
  </si>
  <si>
    <t>SOFR, floored, FY2028</t>
  </si>
  <si>
    <t>SOFR, floored, FY2029</t>
  </si>
  <si>
    <t>SOFR, floored, FY2030</t>
  </si>
  <si>
    <t>SOFR, floored, FY2031</t>
  </si>
  <si>
    <t>Term loan cash interest, FY2026</t>
  </si>
  <si>
    <t>Term loan cash interest, FY2027</t>
  </si>
  <si>
    <t>Term loan cash interest, FY2028</t>
  </si>
  <si>
    <t>Term loan cash interest, FY2029</t>
  </si>
  <si>
    <t>Term loan cash interest, FY2030</t>
  </si>
  <si>
    <t>Term loan cash interest, FY2031</t>
  </si>
  <si>
    <t>Hedge settlement paid / (received), FY2026</t>
  </si>
  <si>
    <t>Hedge settlement paid / (received), FY2027</t>
  </si>
  <si>
    <t>Hedge settlement paid / (received), FY2028</t>
  </si>
  <si>
    <t>Hedge settlement paid / (received), FY2029</t>
  </si>
  <si>
    <t>Hedge settlement paid / (received), FY2030</t>
  </si>
  <si>
    <t>Hedge settlement paid / (received), FY2031</t>
  </si>
  <si>
    <t>Cash interest and fees, all facilities, FY2026</t>
  </si>
  <si>
    <t>Cash interest and fees, all facilities, FY2027</t>
  </si>
  <si>
    <t>Cash interest and fees, all facilities, FY2028</t>
  </si>
  <si>
    <t>Cash interest and fees, all facilities, FY2029</t>
  </si>
  <si>
    <t>Cash interest and fees, all facilities, FY2030</t>
  </si>
  <si>
    <t>Cash interest and fees, all facilities, FY2031</t>
  </si>
  <si>
    <t>Term loan PIK accrued, FY2026</t>
  </si>
  <si>
    <t>Term loan PIK accrued, FY2027</t>
  </si>
  <si>
    <t>Term loan PIK accrued, FY2028</t>
  </si>
  <si>
    <t>Term loan PIK accrued, FY2029</t>
  </si>
  <si>
    <t>Term loan PIK accrued, FY2030</t>
  </si>
  <si>
    <t>Term loan PIK accrued, FY2031</t>
  </si>
  <si>
    <t>Cash interest cover, FY2026</t>
  </si>
  <si>
    <t>Cash interest cover, FY2027</t>
  </si>
  <si>
    <t>Cash interest cover, FY2028</t>
  </si>
  <si>
    <t>Cash interest cover, FY2029</t>
  </si>
  <si>
    <t>Cash interest cover, FY2030</t>
  </si>
  <si>
    <t>Cash interest cover, FY2031</t>
  </si>
  <si>
    <t>1L net leverage, FY2026</t>
  </si>
  <si>
    <t>1L net leverage, FY2027</t>
  </si>
  <si>
    <t>1L net leverage, FY2028</t>
  </si>
  <si>
    <t>1L net leverage, FY2029</t>
  </si>
  <si>
    <t>1L net leverage, FY2030</t>
  </si>
  <si>
    <t>1L net leverage, FY2031</t>
  </si>
  <si>
    <t>Revolver draw / (repayment), FY2026</t>
  </si>
  <si>
    <t>Revolver draw / (repayment), FY2027</t>
  </si>
  <si>
    <t>Revolver draw / (repayment), FY2028</t>
  </si>
  <si>
    <t>Revolver draw / (repayment), FY2029</t>
  </si>
  <si>
    <t>Revolver draw / (repayment), FY2030</t>
  </si>
  <si>
    <t>Revolver draw / (repayment), FY2031</t>
  </si>
  <si>
    <t>Lowest cash interest cover, FY2026-FY2031</t>
  </si>
  <si>
    <t>Year of lowest cash interest cover</t>
  </si>
  <si>
    <t>Downside: term loan cash interest, FY2026</t>
  </si>
  <si>
    <t>Downside: term loan cash interest, FY2027</t>
  </si>
  <si>
    <t>Downside: term loan cash interest, FY2028</t>
  </si>
  <si>
    <t>Downside: term loan cash interest, FY2029</t>
  </si>
  <si>
    <t>Downside: term loan cash interest, FY2030</t>
  </si>
  <si>
    <t>Downside: term loan cash interest, FY2031</t>
  </si>
  <si>
    <t>Downside: cash interest cover, FY2026</t>
  </si>
  <si>
    <t>Downside: cash interest cover, FY2027</t>
  </si>
  <si>
    <t>Downside: cash interest cover, FY2028</t>
  </si>
  <si>
    <t>Downside: cash interest cover, FY2029</t>
  </si>
  <si>
    <t>Downside: cash interest cover, FY2030</t>
  </si>
  <si>
    <t>Downside: cash interest cover, FY2031</t>
  </si>
  <si>
    <t>Downside: lowest cash interest cover</t>
  </si>
  <si>
    <t>Downside: year of lowest cover</t>
  </si>
  <si>
    <t>Downside: peak revolver balance</t>
  </si>
  <si>
    <t>Downside: FY2030 net debt</t>
  </si>
  <si>
    <t/>
  </si>
  <si>
    <t>Unhedged</t>
  </si>
  <si>
    <t>Cap</t>
  </si>
  <si>
    <t>Swap</t>
  </si>
  <si>
    <t>Clearwater Analytics take-private: term loan on the SOFR forward curve vs Term SOFR held flat</t>
  </si>
  <si>
    <t>($ in millions; outside-in case; PIK elected through Jun-28; unhedged; forward curve of 27-Oct-26)</t>
  </si>
  <si>
    <t>Market-implied SOFR forward curve</t>
  </si>
  <si>
    <t>Extra cash interest on the curve</t>
  </si>
  <si>
    <t>Term loan PIK interest accrued</t>
  </si>
  <si>
    <t>Extra PIK on the curve</t>
  </si>
  <si>
    <t>Term loan total interest (cash + PIK)</t>
  </si>
  <si>
    <t>Extra total interest on the curve</t>
  </si>
  <si>
    <t>Cumulative extra total interest</t>
  </si>
  <si>
    <t>Cash interest cover: Adj. EBITDA / cash interest and fees, all facilities</t>
  </si>
  <si>
    <t>Change</t>
  </si>
  <si>
    <t>1L net leverage: net debt / Adj. EBITDA</t>
  </si>
  <si>
    <t>FY2030 exit (end of the hold in the LBO model)</t>
  </si>
  <si>
    <t>Net debt, flat</t>
  </si>
  <si>
    <t>Net debt, forward curve</t>
  </si>
  <si>
    <t>Sponsor IRR, flat</t>
  </si>
  <si>
    <t>Sponsor IRR, forward curve</t>
  </si>
  <si>
    <t>Tie-out: flat case to the LBO model</t>
  </si>
  <si>
    <t>FY2030 net debt, flat case (this workbook)</t>
  </si>
  <si>
    <t>FY2030 net debt per LBO model</t>
  </si>
  <si>
    <t>FY26-FY30</t>
  </si>
  <si>
    <t>FY26-FY31</t>
  </si>
  <si>
    <t>Clearwater Analytics take-private: interest rate hedges and SOFR shocks</t>
  </si>
  <si>
    <t>($ in millions; hedges on 50% of the term loan from the curve spot date to the third anniversary of close; cap premium not priced)</t>
  </si>
  <si>
    <t>Hedge terms</t>
  </si>
  <si>
    <t>Hedging required by the debt commitment letter or the merger proxy</t>
  </si>
  <si>
    <t>Notional: 50% of the $2,700m term loan</t>
  </si>
  <si>
    <t>Effective date (later of close and curve spot)</t>
  </si>
  <si>
    <t>Maturity (third anniversary of close)</t>
  </si>
  <si>
    <t>Peak 3M forward resetting within the term</t>
  </si>
  <si>
    <t>Cap strike: peak forward rounded up to the next 0.25%</t>
  </si>
  <si>
    <t>Swap fixed rate: par rate the 3M curve implies for the term</t>
  </si>
  <si>
    <t>Cap payout received</t>
  </si>
  <si>
    <t>Swap net settlement paid / (received)</t>
  </si>
  <si>
    <t>Term loan cash interest: unhedged vs swapped (net of settlement)</t>
  </si>
  <si>
    <t>Forward curve, unhedged</t>
  </si>
  <si>
    <t>Forward curve, swapped</t>
  </si>
  <si>
    <t>Curve +100bp, unhedged</t>
  </si>
  <si>
    <t>Curve +100bp, swapped</t>
  </si>
  <si>
    <t>Curve +200bp, unhedged</t>
  </si>
  <si>
    <t>Curve +200bp, swapped</t>
  </si>
  <si>
    <t>Peak forward held, unhedged</t>
  </si>
  <si>
    <t>Peak forward held, swapped</t>
  </si>
  <si>
    <t>Rate shocks, outside-in case: lowest cash interest cover (FY2026-FY2031), its year and peak revolver</t>
  </si>
  <si>
    <t>Term SOFR held flat (21-Oct-26)</t>
  </si>
  <si>
    <t>Rate shocks, downside case: lowest cash interest cover (FY2026-FY2031), its year and peak revolver</t>
  </si>
  <si>
    <t>Cover</t>
  </si>
  <si>
    <t>Year</t>
  </si>
  <si>
    <t>Capped</t>
  </si>
  <si>
    <t>Swapped</t>
  </si>
  <si>
    <t>Tie-out to the LBO model, FY2030 (live scenario 1 and live rate case 1, flat)</t>
  </si>
  <si>
    <t>1  Base: PIK elected through Jun-28, no add-on, Term SOFR on the live rate case (Rate Cases tab)</t>
  </si>
  <si>
    <t>Interest rate hedging</t>
  </si>
  <si>
    <t>Hedging requirement, debt commitment letter</t>
  </si>
  <si>
    <t>Hedging requirement, merger proxy</t>
  </si>
  <si>
    <t>Hedges modeled (illustrative)</t>
  </si>
  <si>
    <t>See Rate Cases</t>
  </si>
  <si>
    <t>Flat case only (rate path 1 on Rate Cases); the live case runs on the market-implied SOFR forward curve of 27-Oct-26 (Forward Curve tab)</t>
  </si>
  <si>
    <t>Hedges are at the Borrower's option; if entered with a lender, arranger or agent (or a designee), they are guaranteed and secured first lien with the facilities</t>
  </si>
  <si>
    <t>No hedging condition in the financing description; before close the Company agreed not to enter any swap or hedging transaction (interim operating covenants)</t>
  </si>
  <si>
    <t>Cap or pay-fixed swap on 50% of the term loan to the third anniversary of close; cap premium not priced</t>
  </si>
  <si>
    <t>Debt commitment letter (21-Jan-26) Exh. B pp. B-8 to B-9</t>
  </si>
  <si>
    <t>DEFM14A p. 125</t>
  </si>
  <si>
    <t>Realized</t>
  </si>
  <si>
    <t>Flat vs forward curve, outside-in case ($m)</t>
  </si>
  <si>
    <t>SOFR, forward curve</t>
  </si>
  <si>
    <t>vs 3.53% flat (bp)</t>
  </si>
  <si>
    <t>Cash interest, flat</t>
  </si>
  <si>
    <t>Cash interest, curve</t>
  </si>
  <si>
    <t>Extra interest (cash + PIK)</t>
  </si>
  <si>
    <t>Cumulative extra interest</t>
  </si>
  <si>
    <t>Cash interest cover, flat</t>
  </si>
  <si>
    <t>Cash interest cover, curve</t>
  </si>
  <si>
    <t>1L net leverage, flat</t>
  </si>
  <si>
    <t>1L net leverage, curve</t>
  </si>
  <si>
    <t>FY26-30</t>
  </si>
  <si>
    <t>Lowest cash interest cover (year) and peak revolver ($m)</t>
  </si>
  <si>
    <t>Downside revolver</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</si>
</sst>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164" formatCode="#,##0.0_);(#,##0.0);&quot;–&quot;_)"/>
    <numFmt numFmtId="165" formatCode="0.00%_);(0.00%);&quot;–&quot;_)"/>
    <numFmt numFmtId="166" formatCode="0_);(0);&quot;–&quot;_)"/>
    <numFmt numFmtId="167" formatCode="0.00&quot;x&quot;_);(0.00&quot;x&quot;);&quot;–&quot;_)"/>
    <numFmt numFmtId="168" formatCode="0.0%_);(0.0%);&quot;–&quot;_)"/>
    <numFmt numFmtId="169" formatCode="0.000%_);(0.000%);&quot;–&quot;_)"/>
    <numFmt numFmtId="170" formatCode="&quot;Close&quot;"/>
    <numFmt numFmtId="171" formatCode="yyyy&quot;E&quot;"/>
    <numFmt numFmtId="172" formatCode="0.00_);(0.00);&quot;–&quot;_)"/>
    <numFmt numFmtId="173" formatCode="+0.00%;(0.00%);&quot;–&quot;"/>
    <numFmt numFmtId="174" formatCode="&quot;FY&quot;yyyy"/>
    <numFmt numFmtId="175" formatCode="0.0&quot;x&quot;"/>
    <numFmt numFmtId="176" formatCode="+0.00&quot;x&quot;;(0.00&quot;x&quot;);&quot;–&quot;"/>
    <numFmt numFmtId="177" formatCode="+#,##0.0;(#,##0.0);&quot;–&quot;"/>
    <numFmt numFmtId="178" formatCode="+0.0%;(0.0%);&quot;–&quot;"/>
    <numFmt numFmtId="179" formatCode="#,##0_);(#,##0);&quot;–&quot;_)"/>
    <numFmt numFmtId="180" formatCode="0.0%_);(0.0%);&quot;None&quot;_)"/>
    <numFmt numFmtId="181" formatCode="0.0&quot;x&quot;_);(0.0&quot;x&quot;);&quot;–&quot;_)"/>
    <numFmt numFmtId="182" formatCode="0.0%"/>
    <numFmt numFmtId="183" formatCode="0.00&quot;x&quot;"/>
    <numFmt numFmtId="184" formatCode="#,##0.0_);(#,##0.0)"/>
    <numFmt numFmtId="185" formatCode="0.000"/>
    <numFmt numFmtId="186" formatCode="0.0000"/>
    <numFmt numFmtId="187" formatCode="+0_);(0);&quot;–&quot;_)"/>
    <numFmt numFmtId="188" formatCode="+#,##0.0_);(#,##0.0);&quot;–&quot;_)"/>
    <numFmt numFmtId="189" formatCode="+0.00&quot;x&quot;_);(0.00&quot;x&quot;);&quot;–&quot;_)"/>
    <numFmt numFmtId="190" formatCode="+0;(0);&quot;–&quot;"/>
    <numFmt numFmtId="191" formatCode="#,##0;(#,##0);&quot;–&quot;"/>
    <numFmt numFmtId="192" formatCode="+#,##0;(#,##0);&quot;–&quot;"/>
  </numFmts>
  <fonts count="25">
    <font>
      <sz val="10"/>
      <color rgb="FF000000"/>
      <name val="Arial"/>
      <family val="2"/>
    </font>
    <font>
      <b/>
      <sz val="10"/>
      <color rgb="FF000000"/>
      <name val="Arial"/>
      <family val="2"/>
    </font>
    <font>
      <b/>
      <sz val="12"/>
      <color rgb="FF000000"/>
      <name val="Arial"/>
      <family val="2"/>
    </font>
    <font>
      <i/>
      <sz val="10"/>
      <color rgb="FF000000"/>
      <name val="Arial"/>
      <family val="2"/>
    </font>
    <font>
      <sz val="10"/>
      <color rgb="FF0000FF"/>
      <name val="Arial"/>
      <family val="2"/>
    </font>
    <font>
      <sz val="10"/>
      <color rgb="FF008000"/>
      <name val="Arial"/>
      <family val="2"/>
    </font>
    <font>
      <sz val="10"/>
      <color rgb="FFFFFFFF"/>
      <name val="Arial"/>
      <family val="2"/>
    </font>
    <font>
      <b/>
      <sz val="10"/>
      <color rgb="FFFFFFFF"/>
      <name val="Arial"/>
      <family val="2"/>
    </font>
    <font>
      <b/>
      <sz val="10"/>
      <color rgb="FF646464"/>
      <name val="Arial"/>
      <family val="2"/>
    </font>
    <font>
      <sz val="10"/>
      <color rgb="FF646464"/>
      <name val="Arial"/>
      <family val="2"/>
    </font>
    <font>
      <b/>
      <i/>
      <sz val="10"/>
      <color rgb="FF646464"/>
      <name val="Arial"/>
      <family val="2"/>
    </font>
    <font>
      <i/>
      <sz val="10"/>
      <color rgb="FF646464"/>
      <name val="Arial"/>
      <family val="2"/>
    </font>
    <font>
      <b/>
      <i/>
      <sz val="10"/>
      <color rgb="FFFFFFFF"/>
      <name val="Arial"/>
      <family val="2"/>
    </font>
    <font>
      <b/>
      <u val="singleAccounting"/>
      <sz val="10"/>
      <color rgb="FF000000"/>
      <name val="Arial"/>
      <family val="2"/>
    </font>
    <font>
      <b/>
      <sz val="10"/>
      <color rgb="FF008000"/>
      <name val="Arial"/>
      <family val="2"/>
    </font>
    <font>
      <b/>
      <u/>
      <sz val="10"/>
      <color rgb="FF000000"/>
      <name val="Arial"/>
      <family val="2"/>
    </font>
    <font>
      <i/>
      <sz val="10"/>
      <color rgb="FF0000FF"/>
      <name val="Arial"/>
      <family val="2"/>
    </font>
    <font>
      <i/>
      <sz val="8"/>
      <color rgb="FF000000"/>
      <name val="Arial"/>
      <family val="2"/>
    </font>
    <font>
      <i/>
      <sz val="8"/>
      <color rgb="FF646464"/>
      <name val="Arial"/>
      <family val="2"/>
    </font>
    <font>
      <sz val="10"/>
      <color rgb="FF002060"/>
      <name val="Arial"/>
      <family val="2"/>
    </font>
    <font>
      <b/>
      <sz val="10"/>
      <color rgb="FF002060"/>
      <name val="Arial"/>
      <family val="2"/>
    </font>
    <font>
      <b/>
      <i/>
      <sz val="10"/>
      <color rgb="FF000000"/>
      <name val="Arial"/>
      <family val="2"/>
    </font>
    <font>
      <b/>
      <i/>
      <sz val="10"/>
      <color rgb="FF7F7F7F"/>
      <name val="Arial"/>
      <family val="2"/>
    </font>
    <font>
      <sz val="10"/>
      <color rgb="FF7F7F7F"/>
      <name val="Arial"/>
      <family val="2"/>
    </font>
    <font>
      <b/>
      <sz val="10"/>
      <color rgb="FF0000FF"/>
      <name val="Arial"/>
      <family val="2"/>
    </font>
  </fonts>
  <fills count="7">
    <fill>
      <patternFill patternType="none"/>
    </fill>
    <fill>
      <patternFill patternType="gray125"/>
    </fill>
    <fill>
      <patternFill patternType="solid">
        <fgColor rgb="FFFFFFE0"/>
        <bgColor indexed="64"/>
      </patternFill>
    </fill>
    <fill>
      <patternFill patternType="solid">
        <fgColor rgb="FF002060"/>
        <bgColor indexed="64"/>
      </patternFill>
    </fill>
    <fill>
      <patternFill patternType="solid">
        <fgColor rgb="FFB4C6E7"/>
        <bgColor indexed="64"/>
      </patternFill>
    </fill>
    <fill>
      <patternFill patternType="solid">
        <fgColor rgb="FFF2F2F2"/>
        <bgColor indexed="64"/>
      </patternFill>
    </fill>
    <fill>
      <patternFill patternType="solid">
        <fgColor rgb="FFDDEBF7"/>
        <bgColor indexed="64"/>
      </patternFill>
    </fill>
  </fills>
  <borders count="5">
    <border>
      <left/>
      <right/>
      <top/>
      <bottom/>
      <diagonal/>
    </border>
    <border>
      <left/>
      <right/>
      <top/>
      <bottom style="thin"/>
      <diagonal/>
    </border>
    <border>
      <left/>
      <right/>
      <top style="thin"/>
      <bottom/>
      <diagonal/>
    </border>
    <border>
      <left/>
      <right/>
      <top/>
      <bottom style="thin">
        <color rgb="FF000000"/>
      </bottom>
      <diagonal/>
    </border>
    <border>
      <left/>
      <right/>
      <top style="thin">
        <color rgb="FF000000"/>
      </top>
      <bottom/>
      <diagonal/>
    </border>
  </borders>
  <cellStyleXfs count="1">
    <xf borderId="0" fillId="0" fontId="0" numFmtId="0" applyAlignment="1" applyFont="1" applyFill="1"/>
  </cellStyleXfs>
  <cellXfs count="174">
    <xf xfId="0" borderId="0" fillId="0" fontId="0" numFmtId="0"/>
    <xf xfId="0" borderId="0" fillId="0" fontId="1" numFmtId="0" applyFont="1"/>
    <xf xfId="0" borderId="0" fillId="0" fontId="2" numFmtId="0" applyFont="1"/>
    <xf xfId="0" borderId="0" fillId="0" fontId="3" numFmtId="0" applyFont="1"/>
    <xf xfId="0" borderId="1" fillId="0" fontId="1" numFmtId="0" applyFont="1"/>
    <xf xfId="0" borderId="1" fillId="0" fontId="1" numFmtId="0" applyAlignment="1" applyFont="1">
      <alignment horizontal="right"/>
    </xf>
    <xf xfId="0" borderId="0" fillId="0" fontId="0" numFmtId="15"/>
    <xf xfId="0" borderId="0" fillId="0" fontId="0" numFmtId="15" applyAlignment="1">
      <alignment horizontal="right"/>
    </xf>
    <xf xfId="0" borderId="0" fillId="0" fontId="4" numFmtId="15" applyAlignment="1" applyFont="1">
      <alignment horizontal="right"/>
    </xf>
    <xf xfId="0" borderId="0" fillId="0" fontId="0" numFmtId="0" applyAlignment="1">
      <alignment indent="1"/>
    </xf>
    <xf xfId="0" borderId="0" fillId="0" fontId="0" numFmtId="164"/>
    <xf xfId="0" borderId="0" fillId="0" fontId="0" numFmtId="164" applyAlignment="1">
      <alignment horizontal="right"/>
    </xf>
    <xf xfId="0" borderId="0" fillId="0" fontId="0" numFmtId="165"/>
    <xf xfId="0" borderId="0" fillId="0" fontId="0" numFmtId="165" applyAlignment="1">
      <alignment horizontal="right"/>
    </xf>
    <xf xfId="0" borderId="0" fillId="0" fontId="5" numFmtId="165" applyAlignment="1" applyFont="1">
      <alignment horizontal="right"/>
    </xf>
    <xf xfId="0" borderId="0" fillId="0" fontId="5" numFmtId="164" applyAlignment="1" applyFont="1">
      <alignment horizontal="right"/>
    </xf>
    <xf xfId="0" borderId="0" fillId="0" fontId="0" numFmtId="166" applyAlignment="1">
      <alignment horizontal="right"/>
    </xf>
    <xf xfId="0" borderId="0" fillId="0" fontId="4" numFmtId="166" applyAlignment="1" applyFont="1">
      <alignment horizontal="right"/>
    </xf>
    <xf xfId="0" borderId="0" fillId="2" fontId="4" numFmtId="166" applyAlignment="1" applyFont="1" applyFill="1">
      <alignment horizontal="right"/>
    </xf>
    <xf xfId="0" borderId="0" fillId="0" fontId="4" numFmtId="164" applyAlignment="1" applyFont="1">
      <alignment horizontal="right"/>
    </xf>
    <xf xfId="0" borderId="0" fillId="0" fontId="4" numFmtId="165" applyAlignment="1" applyFont="1">
      <alignment horizontal="right"/>
    </xf>
    <xf xfId="0" borderId="0" fillId="0" fontId="0" numFmtId="167"/>
    <xf xfId="0" borderId="0" fillId="0" fontId="0" numFmtId="167" applyAlignment="1">
      <alignment horizontal="right"/>
    </xf>
    <xf xfId="0" borderId="0" fillId="0" fontId="4" numFmtId="167" applyAlignment="1" applyFont="1">
      <alignment horizontal="right"/>
    </xf>
    <xf xfId="0" borderId="0" fillId="0" fontId="0" numFmtId="168"/>
    <xf xfId="0" borderId="0" fillId="0" fontId="0" numFmtId="168" applyAlignment="1">
      <alignment horizontal="right"/>
    </xf>
    <xf xfId="0" borderId="0" fillId="0" fontId="4" numFmtId="168" applyAlignment="1" applyFont="1">
      <alignment horizontal="right"/>
    </xf>
    <xf xfId="0" borderId="0" fillId="0" fontId="5" numFmtId="166" applyAlignment="1" applyFont="1">
      <alignment horizontal="right"/>
    </xf>
    <xf xfId="0" borderId="0" fillId="2" fontId="4" numFmtId="168" applyAlignment="1" applyFont="1" applyFill="1">
      <alignment horizontal="right"/>
    </xf>
    <xf xfId="0" borderId="0" fillId="0" fontId="5" numFmtId="168" applyAlignment="1" applyFont="1">
      <alignment horizontal="right"/>
    </xf>
    <xf xfId="0" borderId="0" fillId="0" fontId="5" numFmtId="15" applyAlignment="1" applyFont="1">
      <alignment horizontal="right"/>
    </xf>
    <xf xfId="0" borderId="0" fillId="0" fontId="0" numFmtId="169"/>
    <xf xfId="0" borderId="0" fillId="0" fontId="4" numFmtId="169" applyAlignment="1" applyFont="1">
      <alignment horizontal="right"/>
    </xf>
    <xf xfId="0" borderId="0" fillId="3" fontId="0" numFmtId="0" applyFill="1"/>
    <xf xfId="0" borderId="0" fillId="3" fontId="7" numFmtId="0" applyFont="1" applyFill="1"/>
    <xf xfId="0" borderId="0" fillId="0" fontId="11" numFmtId="0" applyFont="1"/>
    <xf xfId="0" borderId="0" fillId="0" fontId="13" numFmtId="0" applyAlignment="1" applyFont="1">
      <alignment horizontal="centerContinuous"/>
    </xf>
    <xf xfId="0" borderId="0" fillId="0" fontId="1" numFmtId="0" applyAlignment="1" applyFont="1">
      <alignment horizontal="right"/>
    </xf>
    <xf xfId="0" borderId="1" fillId="0" fontId="1" numFmtId="170" applyAlignment="1" applyFont="1">
      <alignment horizontal="right"/>
    </xf>
    <xf xfId="0" borderId="1" fillId="0" fontId="1" numFmtId="171" applyAlignment="1" applyFont="1">
      <alignment horizontal="right"/>
    </xf>
    <xf xfId="0" borderId="0" fillId="0" fontId="3" numFmtId="172" applyFont="1"/>
    <xf xfId="0" borderId="2" fillId="0" fontId="1" numFmtId="0" applyAlignment="1" applyFont="1"/>
    <xf xfId="0" borderId="2" fillId="0" fontId="1" numFmtId="164" applyFont="1"/>
    <xf xfId="0" borderId="2" fillId="0" fontId="1" numFmtId="168" applyFont="1"/>
    <xf xfId="0" borderId="0" fillId="0" fontId="5" numFmtId="164" applyFont="1"/>
    <xf xfId="0" borderId="0" fillId="0" fontId="5" numFmtId="168" applyFont="1"/>
    <xf xfId="0" borderId="2" fillId="0" fontId="14" numFmtId="164" applyFont="1"/>
    <xf xfId="0" borderId="0" fillId="0" fontId="5" numFmtId="167" applyFont="1"/>
    <xf xfId="0" borderId="0" fillId="0" fontId="5" numFmtId="165" applyFont="1"/>
    <xf xfId="0" borderId="2" fillId="0" fontId="1" numFmtId="164" applyAlignment="1" applyFont="1">
      <alignment horizontal="right"/>
    </xf>
    <xf xfId="0" borderId="2" fillId="0" fontId="1" numFmtId="167" applyAlignment="1" applyFont="1">
      <alignment horizontal="right"/>
    </xf>
    <xf xfId="0" borderId="0" fillId="0" fontId="0" numFmtId="49" applyAlignment="1">
      <alignment horizontal="right"/>
    </xf>
    <xf xfId="0" borderId="0" fillId="0" fontId="1" numFmtId="168" applyAlignment="1" applyFont="1">
      <alignment horizontal="right"/>
    </xf>
    <xf xfId="0" borderId="2" fillId="0" fontId="1" numFmtId="168" applyAlignment="1" applyFont="1">
      <alignment horizontal="right"/>
    </xf>
    <xf xfId="0" borderId="2" fillId="0" fontId="14" numFmtId="167" applyAlignment="1" applyFont="1">
      <alignment horizontal="right"/>
    </xf>
    <xf xfId="0" borderId="0" fillId="0" fontId="5" numFmtId="167" applyAlignment="1" applyFont="1">
      <alignment horizontal="right"/>
    </xf>
    <xf xfId="0" borderId="0" fillId="0" fontId="0" numFmtId="173" applyAlignment="1">
      <alignment horizontal="right"/>
    </xf>
    <xf xfId="0" borderId="0" fillId="0" fontId="0" numFmtId="175" applyAlignment="1">
      <alignment horizontal="right"/>
    </xf>
    <xf xfId="0" borderId="0" fillId="2" fontId="4" numFmtId="174" applyAlignment="1" applyFont="1" applyFill="1">
      <alignment horizontal="right"/>
    </xf>
    <xf xfId="0" borderId="0" fillId="2" fontId="4" numFmtId="175" applyAlignment="1" applyFont="1" applyFill="1">
      <alignment horizontal="right"/>
    </xf>
    <xf xfId="0" borderId="0" fillId="2" fontId="4" numFmtId="165" applyAlignment="1" applyFont="1" applyFill="1">
      <alignment horizontal="right"/>
    </xf>
    <xf xfId="0" borderId="1" fillId="0" fontId="3" numFmtId="0" applyFont="1"/>
    <xf xfId="0" borderId="1" fillId="2" fontId="16" numFmtId="166" applyFont="1" applyFill="1"/>
    <xf xfId="0" borderId="0" fillId="0" fontId="1" numFmtId="0" applyAlignment="1" applyFont="1">
      <alignment indent="1"/>
    </xf>
    <xf xfId="0" borderId="2" fillId="0" fontId="1" numFmtId="0" applyFont="1"/>
    <xf xfId="0" borderId="0" fillId="0" fontId="0" numFmtId="176"/>
    <xf xfId="0" borderId="0" fillId="0" fontId="0" numFmtId="177"/>
    <xf xfId="0" borderId="0" fillId="0" fontId="0" numFmtId="178"/>
    <xf xfId="0" borderId="1" fillId="0" fontId="1" numFmtId="0" applyAlignment="1" applyFont="1">
      <alignment wrapText="1"/>
    </xf>
    <xf xfId="0" borderId="1" fillId="0" fontId="1" numFmtId="0" applyAlignment="1" applyFont="1">
      <alignment wrapText="1" horizontal="right"/>
    </xf>
    <xf xfId="0" borderId="0" fillId="0" fontId="0" numFmtId="179"/>
    <xf xfId="0" borderId="0" fillId="0" fontId="0" numFmtId="179" applyAlignment="1">
      <alignment horizontal="right"/>
    </xf>
    <xf xfId="0" borderId="0" fillId="0" fontId="0" numFmtId="10" applyAlignment="1">
      <alignment horizontal="right"/>
    </xf>
    <xf xfId="0" borderId="0" fillId="0" fontId="0" numFmtId="0" applyAlignment="1">
      <alignment horizontal="right"/>
    </xf>
    <xf xfId="0" borderId="0" fillId="0" fontId="0" numFmtId="180" applyAlignment="1">
      <alignment horizontal="right"/>
    </xf>
    <xf xfId="0" borderId="0" fillId="0" fontId="0" numFmtId="17" applyAlignment="1">
      <alignment horizontal="right"/>
    </xf>
    <xf xfId="0" borderId="2" fillId="0" fontId="1" numFmtId="179" applyAlignment="1" applyFont="1">
      <alignment horizontal="right"/>
    </xf>
    <xf xfId="0" borderId="2" fillId="0" fontId="1" numFmtId="0" applyAlignment="1" applyFont="1">
      <alignment horizontal="right"/>
    </xf>
    <xf xfId="0" borderId="0" fillId="0" fontId="18" numFmtId="0" applyFont="1"/>
    <xf xfId="0" borderId="2" fillId="0" fontId="1" numFmtId="179" applyFont="1"/>
    <xf xfId="0" borderId="0" fillId="4" fontId="20" numFmtId="0" applyFont="1" applyFill="1"/>
    <xf xfId="0" borderId="0" fillId="0" fontId="21" numFmtId="0" applyFont="1"/>
    <xf xfId="0" borderId="0" fillId="2" fontId="4" numFmtId="10" applyFont="1" applyFill="1"/>
    <xf xfId="0" borderId="0" fillId="0" fontId="14" numFmtId="168" applyAlignment="1" applyFont="1">
      <alignment horizontal="right"/>
    </xf>
    <xf xfId="0" borderId="0" fillId="0" fontId="21" numFmtId="0" applyAlignment="1" applyFont="1">
      <alignment horizontal="right"/>
    </xf>
    <xf xfId="0" borderId="0" fillId="0" fontId="22" numFmtId="164" applyAlignment="1" applyFont="1">
      <alignment horizontal="right"/>
    </xf>
    <xf xfId="0" borderId="0" fillId="0" fontId="22" numFmtId="167" applyAlignment="1" applyFont="1">
      <alignment horizontal="right"/>
    </xf>
    <xf xfId="0" borderId="0" fillId="0" fontId="22" numFmtId="49" applyAlignment="1" applyFont="1">
      <alignment horizontal="right"/>
    </xf>
    <xf xfId="0" borderId="0" fillId="0" fontId="22" numFmtId="168" applyAlignment="1" applyFont="1">
      <alignment horizontal="right"/>
    </xf>
    <xf xfId="0" borderId="0" fillId="0" fontId="23" numFmtId="168" applyFont="1"/>
    <xf xfId="0" borderId="0" fillId="0" fontId="23" numFmtId="167" applyFont="1"/>
    <xf xfId="0" borderId="0" fillId="2" fontId="4" numFmtId="166" applyFont="1" applyFill="1"/>
    <xf xfId="0" borderId="0" fillId="0" fontId="0" numFmtId="181" applyAlignment="1">
      <alignment horizontal="right"/>
    </xf>
    <xf xfId="0" borderId="0" fillId="0" fontId="13" numFmtId="0" applyAlignment="1" applyFont="1">
      <alignment horizontal="right"/>
    </xf>
    <xf xfId="0" borderId="0" fillId="0" fontId="0" numFmtId="182" applyAlignment="1">
      <alignment horizontal="right"/>
    </xf>
    <xf xfId="0" borderId="0" fillId="0" fontId="0" numFmtId="183" applyAlignment="1">
      <alignment horizontal="right"/>
    </xf>
    <xf xfId="0" borderId="0" fillId="0" fontId="0" numFmtId="184"/>
    <xf xfId="0" borderId="0" fillId="0" fontId="0" numFmtId="15"/>
    <xf xfId="0" borderId="0" fillId="0" fontId="0" numFmtId="165"/>
    <xf xfId="0" borderId="0" fillId="0" fontId="0" numFmtId="164"/>
    <xf xfId="0" borderId="0" fillId="0" fontId="0" numFmtId="167"/>
    <xf xfId="0" borderId="0" fillId="0" fontId="0" numFmtId="179"/>
    <xf xfId="0" borderId="0" fillId="0" fontId="0" numFmtId="1"/>
    <xf xfId="0" borderId="0" fillId="0" fontId="4" numFmtId="15" applyFont="1"/>
    <xf xfId="0" borderId="0" fillId="0" fontId="4" numFmtId="15" applyAlignment="1" applyFont="1">
      <alignment horizontal="right"/>
    </xf>
    <xf xfId="0" borderId="0" fillId="0" fontId="4" numFmtId="179" applyAlignment="1" applyFont="1">
      <alignment horizontal="right"/>
    </xf>
    <xf xfId="0" borderId="0" fillId="2" fontId="4" numFmtId="1" applyAlignment="1" applyFont="1" applyFill="1">
      <alignment horizontal="right"/>
    </xf>
    <xf xfId="0" borderId="0" fillId="0" fontId="0" numFmtId="15" applyAlignment="1">
      <alignment horizontal="right"/>
    </xf>
    <xf xfId="0" borderId="0" fillId="0" fontId="0" numFmtId="165" applyAlignment="1">
      <alignment horizontal="right"/>
    </xf>
    <xf xfId="0" borderId="3" fillId="0" fontId="1" numFmtId="0" applyAlignment="1" applyFont="1">
      <alignment horizontal="right"/>
    </xf>
    <xf xfId="0" borderId="3" fillId="0" fontId="1" numFmtId="171" applyAlignment="1" applyFont="1">
      <alignment horizontal="right"/>
    </xf>
    <xf xfId="0" borderId="3" fillId="0" fontId="1" numFmtId="0" applyAlignment="1" applyFont="1">
      <alignment horizontal="left"/>
    </xf>
    <xf xfId="0" borderId="4" fillId="0" fontId="1" numFmtId="0" applyAlignment="1" applyFont="1">
      <alignment indent="1"/>
    </xf>
    <xf xfId="0" borderId="4" fillId="0" fontId="1" numFmtId="0" applyFont="1"/>
    <xf xfId="0" borderId="4" fillId="0" fontId="1" numFmtId="165" applyFont="1"/>
    <xf xfId="0" borderId="0" fillId="0" fontId="0" numFmtId="166"/>
    <xf xfId="0" borderId="0" fillId="0" fontId="0" numFmtId="15" applyAlignment="1">
      <alignment horizontal="left"/>
    </xf>
    <xf xfId="0" borderId="0" fillId="0" fontId="0" numFmtId="185"/>
    <xf xfId="0" borderId="0" fillId="0" fontId="4" numFmtId="15" applyAlignment="1" applyFont="1">
      <alignment horizontal="left"/>
    </xf>
    <xf xfId="0" borderId="0" fillId="0" fontId="4" numFmtId="185" applyFont="1"/>
    <xf xfId="0" borderId="0" fillId="0" fontId="3" numFmtId="15" applyAlignment="1" applyFont="1">
      <alignment horizontal="left"/>
    </xf>
    <xf xfId="0" borderId="0" fillId="0" fontId="3" numFmtId="185" applyFont="1"/>
    <xf xfId="0" borderId="0" fillId="0" fontId="3" numFmtId="15" applyFont="1"/>
    <xf xfId="0" borderId="0" fillId="0" fontId="3" numFmtId="1" applyFont="1"/>
    <xf xfId="0" borderId="0" fillId="0" fontId="3" numFmtId="0" applyAlignment="1" applyFont="1">
      <alignment horizontal="right"/>
    </xf>
    <xf xfId="0" borderId="0" fillId="0" fontId="4" numFmtId="2" applyFont="1"/>
    <xf xfId="0" borderId="0" fillId="0" fontId="0" numFmtId="1" applyAlignment="1">
      <alignment horizontal="right"/>
    </xf>
    <xf xfId="0" borderId="0" fillId="3" fontId="7" numFmtId="0" applyAlignment="1" applyFont="1" applyFill="1">
      <alignment horizontal="right"/>
    </xf>
    <xf xfId="0" borderId="0" fillId="2" fontId="4" numFmtId="165" applyAlignment="1" applyFont="1" applyFill="1">
      <alignment horizontal="right"/>
    </xf>
    <xf xfId="0" borderId="0" fillId="2" fontId="4" numFmtId="182" applyAlignment="1" applyFont="1" applyFill="1">
      <alignment horizontal="right"/>
    </xf>
    <xf xfId="0" borderId="0" fillId="0" fontId="0" numFmtId="164" applyAlignment="1">
      <alignment horizontal="right"/>
    </xf>
    <xf xfId="0" borderId="0" fillId="0" fontId="0" numFmtId="186"/>
    <xf xfId="0" borderId="0" fillId="0" fontId="3" numFmtId="165" applyFont="1"/>
    <xf xfId="0" borderId="0" fillId="0" fontId="3" numFmtId="186" applyFont="1"/>
    <xf xfId="0" borderId="4" fillId="0" fontId="1" numFmtId="164" applyFont="1"/>
    <xf xfId="0" borderId="0" fillId="0" fontId="17" numFmtId="0" applyAlignment="1" applyFont="1">
      <alignment horizontal="right"/>
    </xf>
    <xf xfId="0" borderId="3" fillId="2" fontId="24" numFmtId="1" applyAlignment="1" applyFont="1" applyFill="1">
      <alignment horizontal="right"/>
    </xf>
    <xf xfId="0" borderId="0" fillId="0" fontId="0" numFmtId="182"/>
    <xf xfId="0" borderId="0" fillId="5" fontId="0" numFmtId="165" applyFill="1"/>
    <xf xfId="0" borderId="0" fillId="5" fontId="0" numFmtId="164" applyFill="1"/>
    <xf xfId="0" borderId="0" fillId="5" fontId="0" numFmtId="167" applyFill="1"/>
    <xf xfId="0" borderId="0" fillId="5" fontId="0" numFmtId="1" applyFill="1"/>
    <xf xfId="0" borderId="0" fillId="5" fontId="0" numFmtId="182" applyFill="1"/>
    <xf xfId="0" borderId="0" fillId="3" fontId="7" numFmtId="0" applyAlignment="1" applyFont="1" applyFill="1">
      <alignment indent="1"/>
    </xf>
    <xf xfId="0" borderId="0" fillId="0" fontId="0" numFmtId="187"/>
    <xf xfId="0" borderId="0" fillId="3" fontId="7" numFmtId="164" applyFont="1" applyFill="1"/>
    <xf xfId="0" borderId="0" fillId="0" fontId="0" numFmtId="188"/>
    <xf xfId="0" borderId="4" fillId="0" fontId="1" numFmtId="188" applyFont="1"/>
    <xf xfId="0" borderId="0" fillId="0" fontId="0" numFmtId="189"/>
    <xf xfId="0" borderId="0" fillId="0" fontId="0" numFmtId="10"/>
    <xf xfId="0" borderId="0" fillId="0" fontId="0" numFmtId="173"/>
    <xf xfId="0" borderId="4" fillId="0" fontId="0" numFmtId="0" applyAlignment="1">
      <alignment indent="1"/>
    </xf>
    <xf xfId="0" borderId="4" fillId="0" fontId="0" numFmtId="0"/>
    <xf xfId="0" borderId="4" fillId="0" fontId="0" numFmtId="188"/>
    <xf xfId="0" borderId="0" fillId="0" fontId="1" numFmtId="165" applyAlignment="1" applyFont="1">
      <alignment horizontal="right"/>
    </xf>
    <xf xfId="0" borderId="0" fillId="3" fontId="7" numFmtId="171" applyAlignment="1" applyFont="1" applyFill="1">
      <alignment horizontal="right"/>
    </xf>
    <xf xfId="0" borderId="0" fillId="3" fontId="7" numFmtId="164" applyAlignment="1" applyFont="1" applyFill="1">
      <alignment horizontal="right"/>
    </xf>
    <xf xfId="0" borderId="0" fillId="0" fontId="3" numFmtId="0" applyAlignment="1" applyFont="1">
      <alignment indent="1"/>
    </xf>
    <xf xfId="0" borderId="0" fillId="0" fontId="3" numFmtId="164" applyFont="1"/>
    <xf xfId="0" borderId="0" fillId="6" fontId="1" numFmtId="167" applyFont="1" applyFill="1"/>
    <xf xfId="0" borderId="0" fillId="6" fontId="1" numFmtId="1" applyFont="1" applyFill="1"/>
    <xf xfId="0" borderId="0" fillId="6" fontId="1" numFmtId="164" applyFont="1" applyFill="1"/>
    <xf xfId="0" borderId="0" fillId="0" fontId="11" numFmtId="0" applyAlignment="1" applyFont="1">
      <alignment wrapText="1" vertical="top"/>
    </xf>
    <xf xfId="0" borderId="0" fillId="0" fontId="0" numFmtId="0" applyAlignment="1">
      <alignment wrapText="1" vertical="top"/>
    </xf>
    <xf xfId="0" borderId="0" fillId="0" fontId="0" numFmtId="0" applyAlignment="1">
      <alignment horizontal="left"/>
    </xf>
    <xf xfId="0" borderId="0" fillId="0" fontId="3" numFmtId="179" applyFont="1"/>
    <xf xfId="0" borderId="0" fillId="0" fontId="0" numFmtId="191"/>
    <xf xfId="0" borderId="0" fillId="0" fontId="0" numFmtId="182" applyAlignment="1">
      <alignment horizontal="right"/>
    </xf>
    <xf xfId="0" borderId="0" fillId="0" fontId="0" numFmtId="190" applyAlignment="1">
      <alignment horizontal="right"/>
    </xf>
    <xf xfId="0" borderId="0" fillId="0" fontId="0" numFmtId="191" applyAlignment="1">
      <alignment horizontal="right"/>
    </xf>
    <xf xfId="0" borderId="4" fillId="0" fontId="0" numFmtId="192" applyAlignment="1">
      <alignment horizontal="right"/>
    </xf>
    <xf xfId="0" borderId="0" fillId="0" fontId="1" numFmtId="192" applyAlignment="1" applyFont="1">
      <alignment horizontal="right"/>
    </xf>
    <xf xfId="0" borderId="0" fillId="0" fontId="0" numFmtId="175" applyAlignment="1">
      <alignment horizontal="right"/>
    </xf>
    <xf xfId="0" borderId="3" fillId="0" fontId="1" numFmtId="0" applyAlignment="1" applyFont="1">
      <alignment horizontal="centerContinuous"/>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 Id="rId11" Type="http://schemas.openxmlformats.org/officeDocument/2006/relationships/sharedStrings" Target="sharedStrings.xml"/><Relationship Id="rId12" Type="http://schemas.openxmlformats.org/officeDocument/2006/relationships/theme" Target="theme/theme1.xml"/><Relationship Id="rId13"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comments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commentsDrawing2.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comments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06"/>
  <sheetViews>
    <sheetView showGridLines="0" tabSelected="1" workbookViewId="0">
      <pane ySplit="5" topLeftCell="A6" activePane="bottomLeft" state="frozen"/>
      <selection pane="bottomLeft" activeCell="A1" sqref="A1"/>
    </sheetView>
  </sheetViews>
  <cols>
    <col min="1" max="1" width="2.21875" customWidth="1"/>
    <col min="2" max="2" width="57.07421875" customWidth="1"/>
    <col min="3" max="3" width="14.21875" customWidth="1"/>
    <col min="4" max="4" width="89.50390625" customWidth="1"/>
    <col min="5" max="5" width="62.7890625" customWidth="1"/>
  </cols>
  <sheetData>
    <row r="2">
      <c r="B2" t="s" s="2">
        <v>0</v>
      </c>
    </row>
    <row r="3">
      <c r="B3" t="s" s="3">
        <v>1</v>
      </c>
    </row>
    <row r="5">
      <c r="B5" t="s" s="4">
        <v>2</v>
      </c>
      <c r="C5" t="s" s="5">
        <v>81</v>
      </c>
      <c r="D5" t="s" s="4">
        <v>82</v>
      </c>
      <c r="E5" t="s" s="4">
        <v>152</v>
      </c>
    </row>
    <row r="6">
      <c r="B6" t="s" s="34">
        <v>3</v>
      </c>
      <c r="C6" s="34"/>
      <c r="D6" s="34"/>
      <c r="E6" s="34"/>
    </row>
    <row r="7">
      <c r="B7" t="s" s="9">
        <v>4</v>
      </c>
      <c r="C7" s="8">
        <v>46198</v>
      </c>
      <c r="D7" t="s">
        <v>83</v>
      </c>
      <c r="E7" t="s" s="35">
        <v>153</v>
      </c>
    </row>
    <row r="8">
      <c r="B8" t="s" s="9">
        <v>5</v>
      </c>
      <c r="C8" s="11">
        <f>C17+C54+C66</f>
        <v>3525</v>
      </c>
      <c r="D8" t="s">
        <v>84</v>
      </c>
      <c r="E8" t="s" s="35">
        <v>154</v>
      </c>
    </row>
    <row r="9">
      <c r="B9" t="s" s="9">
        <v>6</v>
      </c>
      <c r="C9" s="14">
        <v>0.0353</v>
      </c>
      <c r="D9" t="s">
        <v>745</v>
      </c>
      <c r="E9" t="s" s="35">
        <v>520</v>
      </c>
    </row>
    <row r="10">
      <c r="B10" t="s" s="9">
        <v>7</v>
      </c>
      <c r="C10" s="15">
        <v>75</v>
      </c>
      <c r="D10" t="s">
        <v>86</v>
      </c>
      <c r="E10" t="s" s="35">
        <v>156</v>
      </c>
    </row>
    <row r="11">
      <c r="B11" t="s" s="9">
        <v>8</v>
      </c>
      <c r="C11" s="15">
        <v>75</v>
      </c>
      <c r="D11" t="s">
        <v>87</v>
      </c>
      <c r="E11" t="s" s="35">
        <v>521</v>
      </c>
    </row>
    <row r="12">
      <c r="B12" t="s" s="9">
        <v>9</v>
      </c>
      <c r="C12" s="15">
        <v>280.545</v>
      </c>
      <c r="D12" t="s">
        <v>88</v>
      </c>
      <c r="E12" t="s" s="35">
        <v>522</v>
      </c>
    </row>
    <row r="13">
      <c r="B13" t="s" s="9">
        <v>10</v>
      </c>
      <c r="C13" s="15">
        <v>5737.031985790003</v>
      </c>
      <c r="D13" t="s">
        <v>89</v>
      </c>
      <c r="E13" t="s" s="35">
        <v>523</v>
      </c>
    </row>
    <row r="14">
      <c r="B14" t="s" s="9">
        <v>11</v>
      </c>
      <c r="C14" s="18">
        <v>1</v>
      </c>
      <c r="D14" t="s">
        <v>90</v>
      </c>
      <c r="E14" t="s" s="35">
        <v>160</v>
      </c>
    </row>
    <row r="15">
      <c r="E15" s="35"/>
    </row>
    <row r="16">
      <c r="B16" t="s" s="34">
        <v>12</v>
      </c>
      <c r="C16" s="34"/>
      <c r="D16" s="34"/>
      <c r="E16" s="34"/>
    </row>
    <row r="17">
      <c r="B17" t="s" s="9">
        <v>13</v>
      </c>
      <c r="C17" s="19">
        <v>2700</v>
      </c>
      <c r="D17" t="s">
        <v>91</v>
      </c>
      <c r="E17" t="s" s="35">
        <v>161</v>
      </c>
    </row>
    <row r="18">
      <c r="B18" t="s" s="9">
        <v>14</v>
      </c>
      <c r="C18" s="20">
        <v>0.045</v>
      </c>
      <c r="D18" t="s">
        <v>92</v>
      </c>
      <c r="E18" t="s" s="35">
        <v>162</v>
      </c>
    </row>
    <row r="19">
      <c r="B19" t="s" s="9">
        <v>15</v>
      </c>
      <c r="C19" s="20">
        <v>0.005</v>
      </c>
      <c r="D19" t="s">
        <v>93</v>
      </c>
      <c r="E19" t="s" s="35">
        <v>163</v>
      </c>
    </row>
    <row r="20">
      <c r="B20" t="s" s="9">
        <v>16</v>
      </c>
      <c r="C20" s="20">
        <v>0.0025</v>
      </c>
      <c r="D20" t="s">
        <v>94</v>
      </c>
      <c r="E20" t="s" s="35">
        <v>162</v>
      </c>
    </row>
    <row r="21">
      <c r="B21" t="s" s="9">
        <v>17</v>
      </c>
      <c r="C21" s="23">
        <v>7.5</v>
      </c>
      <c r="D21" t="s">
        <v>95</v>
      </c>
      <c r="E21" t="s" s="35">
        <v>163</v>
      </c>
    </row>
    <row r="22">
      <c r="B22" t="s" s="9">
        <v>18</v>
      </c>
      <c r="C22" s="7">
        <f>EOMONTH(C7,6)</f>
        <v>46387</v>
      </c>
      <c r="D22" t="s">
        <v>96</v>
      </c>
      <c r="E22" t="s" s="35">
        <v>163</v>
      </c>
    </row>
    <row r="23">
      <c r="B23" t="s" s="9">
        <v>19</v>
      </c>
      <c r="C23" s="20">
        <v>0.0025</v>
      </c>
      <c r="D23" t="s">
        <v>97</v>
      </c>
      <c r="E23" t="s" s="35">
        <v>163</v>
      </c>
    </row>
    <row r="24">
      <c r="B24" t="s" s="9">
        <v>20</v>
      </c>
      <c r="C24" s="26">
        <v>0.5</v>
      </c>
      <c r="D24" t="s">
        <v>98</v>
      </c>
      <c r="E24" t="s" s="35">
        <v>162</v>
      </c>
    </row>
    <row r="25">
      <c r="B25" t="s" s="9">
        <v>21</v>
      </c>
      <c r="C25" s="20">
        <v>0.0025</v>
      </c>
      <c r="D25" t="s">
        <v>99</v>
      </c>
      <c r="E25" t="s" s="35">
        <v>163</v>
      </c>
    </row>
    <row r="26">
      <c r="B26" t="s" s="9">
        <v>22</v>
      </c>
      <c r="C26" s="17">
        <v>24</v>
      </c>
      <c r="D26" t="s">
        <v>100</v>
      </c>
      <c r="E26" t="s" s="35">
        <v>163</v>
      </c>
    </row>
    <row r="27">
      <c r="B27" t="s" s="9">
        <v>23</v>
      </c>
      <c r="C27" s="7">
        <f>EDATE(C7,C26)</f>
        <v>46929</v>
      </c>
      <c r="D27" t="s">
        <v>101</v>
      </c>
      <c r="E27" t="s" s="35">
        <v>163</v>
      </c>
    </row>
    <row r="28">
      <c r="B28" t="s" s="9">
        <v>24</v>
      </c>
      <c r="C28" s="27">
        <v>1</v>
      </c>
      <c r="D28" t="s">
        <v>102</v>
      </c>
      <c r="E28" t="s" s="35">
        <v>164</v>
      </c>
    </row>
    <row r="29">
      <c r="B29" t="s" s="9">
        <v>25</v>
      </c>
      <c r="C29" s="13">
        <f>MAX(C9,C19)+C18*(1-C24)</f>
        <v>0.0578</v>
      </c>
      <c r="D29" t="s">
        <v>103</v>
      </c>
      <c r="E29" t="s" s="35">
        <v>165</v>
      </c>
    </row>
    <row r="30">
      <c r="B30" t="s" s="9">
        <v>26</v>
      </c>
      <c r="C30" s="13">
        <f>C18*C24+C25</f>
        <v>0.024999999999999998</v>
      </c>
      <c r="D30" t="s">
        <v>104</v>
      </c>
      <c r="E30" t="s" s="35">
        <v>165</v>
      </c>
    </row>
    <row r="31">
      <c r="B31" t="s" s="9">
        <v>27</v>
      </c>
      <c r="C31" s="13">
        <f>C29+C30</f>
        <v>0.0828</v>
      </c>
      <c r="D31" t="s">
        <v>105</v>
      </c>
      <c r="E31" t="s" s="35">
        <v>165</v>
      </c>
    </row>
    <row r="32">
      <c r="B32" t="s" s="9">
        <v>28</v>
      </c>
      <c r="C32" s="13">
        <f>MAX(C9,C19)+C18</f>
        <v>0.0803</v>
      </c>
      <c r="D32" t="s">
        <v>106</v>
      </c>
      <c r="E32" t="s" s="35">
        <v>165</v>
      </c>
    </row>
    <row r="33">
      <c r="B33" t="s" s="9">
        <v>29</v>
      </c>
      <c r="C33" s="11">
        <f>C17*C25</f>
        <v>6.75</v>
      </c>
      <c r="D33" t="s">
        <v>107</v>
      </c>
      <c r="E33" t="s" s="35">
        <v>165</v>
      </c>
    </row>
    <row r="34">
      <c r="B34" t="s" s="9">
        <v>30</v>
      </c>
      <c r="C34" s="17">
        <v>7</v>
      </c>
      <c r="D34" t="s">
        <v>108</v>
      </c>
      <c r="E34" t="s" s="35">
        <v>166</v>
      </c>
    </row>
    <row r="35">
      <c r="B35" t="s" s="9">
        <v>31</v>
      </c>
      <c r="C35" s="7">
        <f>EDATE(C7,12*C34)</f>
        <v>48755</v>
      </c>
      <c r="D35" t="s">
        <v>109</v>
      </c>
      <c r="E35" t="s" s="35">
        <v>165</v>
      </c>
    </row>
    <row r="36">
      <c r="B36" t="s" s="9">
        <v>32</v>
      </c>
      <c r="C36" s="20">
        <v>0</v>
      </c>
      <c r="D36" t="s">
        <v>110</v>
      </c>
      <c r="E36" t="s" s="35">
        <v>166</v>
      </c>
    </row>
    <row r="37">
      <c r="B37" t="s" s="9">
        <v>33</v>
      </c>
      <c r="C37" s="20">
        <v>0.01</v>
      </c>
      <c r="D37" t="s">
        <v>111</v>
      </c>
      <c r="E37" t="s" s="35">
        <v>167</v>
      </c>
    </row>
    <row r="38">
      <c r="B38" t="s" s="9">
        <v>34</v>
      </c>
      <c r="C38" s="7">
        <f>EDATE(C7,12)</f>
        <v>46563</v>
      </c>
      <c r="D38" t="s">
        <v>112</v>
      </c>
      <c r="E38" t="s" s="35">
        <v>165</v>
      </c>
    </row>
    <row r="39">
      <c r="B39" t="s" s="9">
        <v>35</v>
      </c>
      <c r="C39" s="28">
        <v>0.5</v>
      </c>
      <c r="D39" t="s">
        <v>113</v>
      </c>
      <c r="E39" t="s" s="35">
        <v>160</v>
      </c>
    </row>
    <row r="40">
      <c r="B40" t="s" s="9">
        <v>36</v>
      </c>
      <c r="C40" s="23">
        <v>7.75</v>
      </c>
      <c r="D40" t="s">
        <v>114</v>
      </c>
      <c r="E40" t="s" s="35">
        <v>168</v>
      </c>
    </row>
    <row r="41">
      <c r="B41" t="s" s="9">
        <v>37</v>
      </c>
      <c r="C41" s="26">
        <v>0.25</v>
      </c>
      <c r="E41" t="s" s="35">
        <v>168</v>
      </c>
    </row>
    <row r="42">
      <c r="B42" t="s" s="9">
        <v>38</v>
      </c>
      <c r="C42" s="23">
        <v>7.5</v>
      </c>
      <c r="D42" t="s">
        <v>115</v>
      </c>
      <c r="E42" t="s" s="35">
        <v>168</v>
      </c>
    </row>
    <row r="43">
      <c r="B43" t="s" s="9">
        <v>39</v>
      </c>
      <c r="C43" s="26">
        <v>0</v>
      </c>
      <c r="E43" t="s" s="35">
        <v>168</v>
      </c>
    </row>
    <row r="44">
      <c r="B44" t="s" s="9">
        <v>40</v>
      </c>
      <c r="C44" s="19">
        <v>105</v>
      </c>
      <c r="D44" t="s">
        <v>116</v>
      </c>
      <c r="E44" t="s" s="35">
        <v>168</v>
      </c>
    </row>
    <row r="45">
      <c r="B45" t="s" s="9">
        <v>41</v>
      </c>
      <c r="C45" s="26">
        <v>0.3</v>
      </c>
      <c r="D45" t="s">
        <v>117</v>
      </c>
      <c r="E45" t="s" s="35">
        <v>168</v>
      </c>
    </row>
    <row r="46">
      <c r="B46" t="s" s="9">
        <v>42</v>
      </c>
      <c r="C46" s="7">
        <f>DATE(YEAR(C7)+1,12,31)</f>
        <v>46752</v>
      </c>
      <c r="D46" t="s">
        <v>118</v>
      </c>
      <c r="E46" t="s" s="35">
        <v>168</v>
      </c>
    </row>
    <row r="47">
      <c r="B47" t="s" s="9">
        <v>43</v>
      </c>
      <c r="C47" s="29">
        <v>1</v>
      </c>
      <c r="D47" t="s">
        <v>119</v>
      </c>
      <c r="E47" t="s" s="35">
        <v>169</v>
      </c>
    </row>
    <row r="48">
      <c r="B48" t="s" s="9">
        <v>44</v>
      </c>
      <c r="C48" s="30">
        <v>46752</v>
      </c>
      <c r="D48" t="s">
        <v>120</v>
      </c>
      <c r="E48" t="s" s="35">
        <v>170</v>
      </c>
    </row>
    <row r="49">
      <c r="B49" t="s" s="9">
        <v>45</v>
      </c>
      <c r="C49" s="28">
        <v>0.02</v>
      </c>
      <c r="D49" t="s">
        <v>121</v>
      </c>
      <c r="E49" t="s" s="35">
        <v>160</v>
      </c>
    </row>
    <row r="50">
      <c r="B50" t="s" s="9">
        <v>46</v>
      </c>
      <c r="C50" s="11">
        <f>C17*C49</f>
        <v>54</v>
      </c>
      <c r="D50" t="s">
        <v>122</v>
      </c>
      <c r="E50" t="s" s="35">
        <v>165</v>
      </c>
    </row>
    <row r="51">
      <c r="B51" t="s" s="9">
        <v>47</v>
      </c>
      <c r="C51" s="16">
        <f>C34</f>
        <v>7</v>
      </c>
      <c r="D51" t="s">
        <v>123</v>
      </c>
      <c r="E51" t="s" s="35">
        <v>165</v>
      </c>
    </row>
    <row r="52">
      <c r="E52" s="35"/>
    </row>
    <row r="53">
      <c r="B53" t="s" s="34">
        <v>48</v>
      </c>
      <c r="C53" s="34"/>
      <c r="D53" s="34"/>
      <c r="E53" s="34"/>
    </row>
    <row r="54">
      <c r="B54" t="s" s="9">
        <v>49</v>
      </c>
      <c r="C54" s="19">
        <v>500</v>
      </c>
      <c r="D54" t="s">
        <v>124</v>
      </c>
      <c r="E54" t="s" s="35">
        <v>171</v>
      </c>
    </row>
    <row r="55">
      <c r="B55" t="s" s="9">
        <v>50</v>
      </c>
      <c r="C55" s="15">
        <v>0</v>
      </c>
      <c r="D55" t="s">
        <v>125</v>
      </c>
      <c r="E55" t="s" s="35">
        <v>172</v>
      </c>
    </row>
    <row r="56">
      <c r="B56" t="s" s="9">
        <v>51</v>
      </c>
      <c r="C56" s="17">
        <v>30</v>
      </c>
      <c r="D56" t="s">
        <v>126</v>
      </c>
      <c r="E56" t="s" s="35">
        <v>173</v>
      </c>
    </row>
    <row r="57">
      <c r="B57" t="s" s="9">
        <v>52</v>
      </c>
      <c r="C57" s="7">
        <f>EDATE(C7,C56)</f>
        <v>47112</v>
      </c>
      <c r="D57" t="s">
        <v>127</v>
      </c>
      <c r="E57" t="s" s="35">
        <v>165</v>
      </c>
    </row>
    <row r="58">
      <c r="B58" t="s" s="9">
        <v>53</v>
      </c>
      <c r="C58" s="19">
        <v>250</v>
      </c>
      <c r="D58" t="s">
        <v>128</v>
      </c>
      <c r="E58" t="s" s="35">
        <v>174</v>
      </c>
    </row>
    <row r="59">
      <c r="B59" t="s" s="9">
        <v>54</v>
      </c>
      <c r="C59" s="23">
        <v>8</v>
      </c>
      <c r="D59" t="s">
        <v>129</v>
      </c>
      <c r="E59" t="s" s="35">
        <v>174</v>
      </c>
    </row>
    <row r="60">
      <c r="B60" t="s" s="9">
        <v>55</v>
      </c>
      <c r="C60" s="13">
        <f>C18</f>
        <v>0.045</v>
      </c>
      <c r="D60" t="s">
        <v>130</v>
      </c>
      <c r="E60" t="s" s="35">
        <v>174</v>
      </c>
    </row>
    <row r="61">
      <c r="B61" t="s" s="9">
        <v>56</v>
      </c>
      <c r="C61" s="17">
        <v>90</v>
      </c>
      <c r="D61" t="s">
        <v>131</v>
      </c>
      <c r="E61" t="s" s="35">
        <v>175</v>
      </c>
    </row>
    <row r="62">
      <c r="B62" t="s" s="9">
        <v>57</v>
      </c>
      <c r="C62" s="20">
        <v>0.005</v>
      </c>
      <c r="D62" t="s">
        <v>132</v>
      </c>
      <c r="E62" t="s" s="35">
        <v>176</v>
      </c>
    </row>
    <row r="63">
      <c r="B63" t="s" s="9">
        <v>58</v>
      </c>
      <c r="C63" s="20">
        <v>0.01</v>
      </c>
      <c r="D63" t="s">
        <v>132</v>
      </c>
      <c r="E63" t="s" s="35">
        <v>176</v>
      </c>
    </row>
    <row r="64">
      <c r="E64" s="35"/>
    </row>
    <row r="65">
      <c r="B65" t="s" s="34">
        <v>59</v>
      </c>
      <c r="C65" s="34"/>
      <c r="D65" s="34"/>
      <c r="E65" s="34"/>
    </row>
    <row r="66">
      <c r="B66" t="s" s="9">
        <v>49</v>
      </c>
      <c r="C66" s="19">
        <v>325</v>
      </c>
      <c r="D66" t="s">
        <v>133</v>
      </c>
      <c r="E66" t="s" s="35">
        <v>177</v>
      </c>
    </row>
    <row r="67">
      <c r="B67" t="s" s="9">
        <v>60</v>
      </c>
      <c r="C67" s="19">
        <v>81.25</v>
      </c>
      <c r="D67" t="s">
        <v>134</v>
      </c>
      <c r="E67" t="s" s="35">
        <v>178</v>
      </c>
    </row>
    <row r="68">
      <c r="B68" t="s" s="9">
        <v>50</v>
      </c>
      <c r="C68" s="15">
        <v>0</v>
      </c>
      <c r="D68" t="s">
        <v>135</v>
      </c>
      <c r="E68" t="s" s="35">
        <v>179</v>
      </c>
    </row>
    <row r="69">
      <c r="B69" t="s" s="9">
        <v>30</v>
      </c>
      <c r="C69" s="17">
        <v>7</v>
      </c>
      <c r="D69" t="s">
        <v>136</v>
      </c>
      <c r="E69" t="s" s="35">
        <v>180</v>
      </c>
    </row>
    <row r="70">
      <c r="B70" t="s" s="9">
        <v>61</v>
      </c>
      <c r="C70" s="13">
        <f>C18</f>
        <v>0.045</v>
      </c>
      <c r="D70" t="s">
        <v>137</v>
      </c>
      <c r="E70" t="s" s="35">
        <v>181</v>
      </c>
    </row>
    <row r="71">
      <c r="B71" t="s" s="9">
        <v>62</v>
      </c>
      <c r="C71" s="20">
        <v>0.005</v>
      </c>
      <c r="D71" t="s">
        <v>138</v>
      </c>
      <c r="E71" t="s" s="35">
        <v>175</v>
      </c>
    </row>
    <row r="72">
      <c r="B72" t="s" s="9">
        <v>63</v>
      </c>
      <c r="C72" s="32">
        <v>0.00125</v>
      </c>
      <c r="D72" t="s">
        <v>139</v>
      </c>
      <c r="E72" t="s" s="35">
        <v>176</v>
      </c>
    </row>
    <row r="73">
      <c r="B73" t="s" s="9">
        <v>64</v>
      </c>
      <c r="C73" s="23">
        <v>7.5</v>
      </c>
      <c r="E73" t="s" s="35">
        <v>176</v>
      </c>
    </row>
    <row r="74">
      <c r="B74" t="s" s="9">
        <v>65</v>
      </c>
      <c r="C74" s="23">
        <v>7</v>
      </c>
      <c r="E74" t="s" s="35">
        <v>176</v>
      </c>
    </row>
    <row r="75">
      <c r="E75" s="35"/>
    </row>
    <row r="76">
      <c r="B76" t="s" s="34">
        <v>66</v>
      </c>
      <c r="C76" s="34"/>
      <c r="D76" s="34"/>
      <c r="E76" s="34"/>
    </row>
    <row r="77">
      <c r="B77" t="s" s="9">
        <v>67</v>
      </c>
      <c r="C77" s="23">
        <v>15</v>
      </c>
      <c r="D77" t="s">
        <v>140</v>
      </c>
      <c r="E77" t="s" s="35">
        <v>182</v>
      </c>
    </row>
    <row r="78">
      <c r="B78" t="s" s="9">
        <v>68</v>
      </c>
      <c r="C78" s="19">
        <v>260</v>
      </c>
      <c r="D78" t="s">
        <v>141</v>
      </c>
      <c r="E78" t="s" s="35">
        <v>183</v>
      </c>
    </row>
    <row r="79">
      <c r="B79" t="s" s="9">
        <v>69</v>
      </c>
      <c r="C79" s="26">
        <v>0.8</v>
      </c>
      <c r="D79" t="s">
        <v>142</v>
      </c>
      <c r="E79" t="s" s="35">
        <v>183</v>
      </c>
    </row>
    <row r="80">
      <c r="B80" t="s" s="9">
        <v>70</v>
      </c>
      <c r="C80" s="11">
        <f>MAX(C78,C79*C66)</f>
        <v>260</v>
      </c>
      <c r="D80" t="s">
        <v>143</v>
      </c>
      <c r="E80" t="s" s="35">
        <v>165</v>
      </c>
    </row>
    <row r="81">
      <c r="B81" t="s" s="9">
        <v>71</v>
      </c>
      <c r="C81" s="7">
        <f>EOMONTH(C7,6)</f>
        <v>46387</v>
      </c>
      <c r="D81" t="s">
        <v>144</v>
      </c>
      <c r="E81" t="s" s="35">
        <v>183</v>
      </c>
    </row>
    <row r="82">
      <c r="B82" t="s" s="9">
        <v>72</v>
      </c>
      <c r="C82" s="11">
        <f>C66-C80</f>
        <v>65</v>
      </c>
      <c r="D82" t="s">
        <v>145</v>
      </c>
      <c r="E82" t="s" s="35">
        <v>165</v>
      </c>
    </row>
    <row r="83">
      <c r="E83" s="35"/>
    </row>
    <row r="84">
      <c r="B84" t="s" s="34">
        <v>73</v>
      </c>
      <c r="C84" s="34"/>
      <c r="D84" s="34"/>
      <c r="E84" s="34"/>
    </row>
    <row r="85">
      <c r="B85" t="s" s="9">
        <v>74</v>
      </c>
      <c r="C85" s="23">
        <v>8</v>
      </c>
      <c r="D85" t="s">
        <v>146</v>
      </c>
      <c r="E85" t="s" s="35">
        <v>184</v>
      </c>
    </row>
    <row r="86">
      <c r="B86" t="s" s="9">
        <v>75</v>
      </c>
      <c r="C86" s="19">
        <v>350</v>
      </c>
      <c r="D86" t="s">
        <v>147</v>
      </c>
      <c r="E86" t="s" s="35">
        <v>185</v>
      </c>
    </row>
    <row r="87">
      <c r="B87" t="s" s="9">
        <v>76</v>
      </c>
      <c r="C87" s="23">
        <v>7.25</v>
      </c>
      <c r="D87" t="s">
        <v>148</v>
      </c>
      <c r="E87" t="s" s="35">
        <v>186</v>
      </c>
    </row>
    <row r="88">
      <c r="B88" t="s" s="9">
        <v>77</v>
      </c>
      <c r="C88" s="23">
        <v>7.5</v>
      </c>
      <c r="E88" t="s" s="35">
        <v>186</v>
      </c>
    </row>
    <row r="89">
      <c r="B89" t="s" s="9">
        <v>78</v>
      </c>
      <c r="C89" s="26">
        <v>0.4</v>
      </c>
      <c r="D89" t="s">
        <v>149</v>
      </c>
      <c r="E89" t="s" s="35">
        <v>187</v>
      </c>
    </row>
    <row r="90">
      <c r="B90" t="s" s="9">
        <v>79</v>
      </c>
      <c r="C90" s="19">
        <v>350</v>
      </c>
      <c r="D90" t="s">
        <v>150</v>
      </c>
      <c r="E90" t="s" s="35">
        <v>188</v>
      </c>
    </row>
    <row r="91">
      <c r="B91" t="s" s="9">
        <v>80</v>
      </c>
      <c r="C91" s="26">
        <v>0.35</v>
      </c>
      <c r="D91" t="s">
        <v>151</v>
      </c>
      <c r="E91" t="s" s="35">
        <v>189</v>
      </c>
    </row>
    <row r="93">
      <c r="B93" t="s">
        <v>422</v>
      </c>
    </row>
    <row r="94">
      <c r="B94" t="s">
        <v>423</v>
      </c>
      <c r="C94">
        <v>0.3</v>
      </c>
      <c r="D94" t="s">
        <v>427</v>
      </c>
      <c r="E94" t="s">
        <v>431</v>
      </c>
    </row>
    <row r="95">
      <c r="B95" t="s">
        <v>424</v>
      </c>
      <c r="C95">
        <v>0.25</v>
      </c>
      <c r="D95" t="s">
        <v>428</v>
      </c>
      <c r="E95" t="s">
        <v>432</v>
      </c>
    </row>
    <row r="96">
      <c r="B96" t="s">
        <v>425</v>
      </c>
      <c r="C96">
        <v>0.8</v>
      </c>
      <c r="D96" t="s">
        <v>429</v>
      </c>
      <c r="E96" t="s">
        <v>433</v>
      </c>
    </row>
    <row r="97">
      <c r="B97" t="s">
        <v>426</v>
      </c>
      <c r="C97">
        <v>702.3</v>
      </c>
      <c r="D97" t="s">
        <v>430</v>
      </c>
      <c r="E97" t="s">
        <v>524</v>
      </c>
    </row>
    <row r="99">
      <c r="B99" t="s">
        <v>515</v>
      </c>
      <c r="C99"/>
      <c r="D99"/>
      <c r="E99"/>
    </row>
    <row r="100">
      <c r="B100" t="s">
        <v>516</v>
      </c>
      <c r="C100" s="96">
        <v>197.8695799799986</v>
      </c>
      <c r="D100" t="s">
        <v>532</v>
      </c>
      <c r="E100" t="s">
        <v>533</v>
      </c>
    </row>
    <row r="101">
      <c r="B101" t="s">
        <v>517</v>
      </c>
      <c r="C101" s="6">
        <f>EDATE(C7,36)</f>
        <v>47294</v>
      </c>
      <c r="D101" t="s">
        <v>519</v>
      </c>
      <c r="E101" t="s">
        <v>434</v>
      </c>
    </row>
    <row r="103">
      <c r="B103" t="s">
        <v>740</v>
      </c>
      <c r="C103"/>
      <c r="D103"/>
      <c r="E103"/>
    </row>
    <row r="104">
      <c r="B104" t="s">
        <v>741</v>
      </c>
      <c r="C104" t="s" s="73">
        <v>415</v>
      </c>
      <c r="D104" t="s" s="164">
        <v>746</v>
      </c>
      <c r="E104" t="s">
        <v>749</v>
      </c>
    </row>
    <row r="105">
      <c r="B105" t="s">
        <v>742</v>
      </c>
      <c r="C105" t="s" s="73">
        <v>415</v>
      </c>
      <c r="D105" t="s" s="164">
        <v>747</v>
      </c>
      <c r="E105" t="s">
        <v>750</v>
      </c>
    </row>
    <row r="106">
      <c r="B106" t="s">
        <v>743</v>
      </c>
      <c r="C106" t="s" s="73">
        <v>744</v>
      </c>
      <c r="D106" t="s" s="164">
        <v>748</v>
      </c>
      <c r="E106" t="s">
        <v>160</v>
      </c>
    </row>
  </sheetData>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69"/>
  <sheetViews>
    <sheetView showGridLines="0" workbookViewId="0">
      <pane xSplit="2" ySplit="6" topLeftCell="C7" activePane="bottomRight" state="frozen"/>
      <selection pane="topRight" activeCell="C1" sqref="C1"/>
      <selection pane="bottomLeft" activeCell="A7" sqref="A7"/>
      <selection pane="bottomRight" activeCell="A1" sqref="A1"/>
    </sheetView>
  </sheetViews>
  <cols>
    <col min="1" max="1" width="2.21875" customWidth="1"/>
    <col min="2" max="2" width="62.7890625" customWidth="1"/>
    <col min="3" max="9" width="12.50390625" customWidth="1"/>
    <col min="10" max="10" width="2.64453125" customWidth="1"/>
    <col min="11" max="17" width="12.50390625" customWidth="1"/>
    <col min="18" max="18" width="2.64453125" customWidth="1"/>
    <col min="19" max="25" width="12.50390625" customWidth="1"/>
  </cols>
  <sheetData>
    <row r="2">
      <c r="B2" t="s" s="2">
        <v>213</v>
      </c>
    </row>
    <row r="3">
      <c r="B3" t="s" s="3">
        <v>214</v>
      </c>
    </row>
    <row r="5">
      <c r="C5" t="s" s="36">
        <v>317</v>
      </c>
      <c r="D5" s="36"/>
      <c r="E5" s="36"/>
      <c r="F5" s="36"/>
      <c r="G5" s="36"/>
      <c r="H5" s="36"/>
      <c r="I5" s="36"/>
      <c r="K5" t="s" s="36">
        <v>318</v>
      </c>
      <c r="L5" s="36"/>
      <c r="M5" s="36"/>
      <c r="N5" s="36"/>
      <c r="O5" s="36"/>
      <c r="P5" s="36"/>
      <c r="Q5" s="36"/>
      <c r="S5" t="s" s="36">
        <v>456</v>
      </c>
      <c r="T5" s="36"/>
      <c r="U5" s="36"/>
      <c r="V5" s="36"/>
      <c r="W5" s="36"/>
      <c r="X5" s="36"/>
      <c r="Y5" s="36"/>
    </row>
    <row r="6">
      <c r="B6" t="s" s="1">
        <v>215</v>
      </c>
      <c r="C6" s="38">
        <f>'Term Sheet'!$C$7</f>
        <v>46198</v>
      </c>
      <c r="D6" s="39">
        <f>DATE(YEAR(C6),12,31)</f>
        <v>46387</v>
      </c>
      <c r="E6" s="39">
        <f>EOMONTH(D6,12)</f>
        <v>46752</v>
      </c>
      <c r="F6" s="39">
        <f>EOMONTH(E6,12)</f>
        <v>47118</v>
      </c>
      <c r="G6" s="39">
        <f>EOMONTH(F6,12)</f>
        <v>47483</v>
      </c>
      <c r="H6" s="39">
        <f>EOMONTH(G6,12)</f>
        <v>47848</v>
      </c>
      <c r="I6" s="39">
        <f>EOMONTH(H6,12)</f>
        <v>48213</v>
      </c>
      <c r="J6" s="39"/>
      <c r="K6" s="38">
        <f>'Term Sheet'!$C$7</f>
        <v>46198</v>
      </c>
      <c r="L6" s="39">
        <f>DATE(YEAR(K6),12,31)</f>
        <v>46387</v>
      </c>
      <c r="M6" s="39">
        <f>EOMONTH(L6,12)</f>
        <v>46752</v>
      </c>
      <c r="N6" s="39">
        <f>EOMONTH(M6,12)</f>
        <v>47118</v>
      </c>
      <c r="O6" s="39">
        <f>EOMONTH(N6,12)</f>
        <v>47483</v>
      </c>
      <c r="P6" s="39">
        <f>EOMONTH(O6,12)</f>
        <v>47848</v>
      </c>
      <c r="Q6" s="39">
        <f>EOMONTH(P6,12)</f>
        <v>48213</v>
      </c>
      <c r="S6" s="38">
        <f>'Term Sheet'!$C$7</f>
        <v>46198</v>
      </c>
      <c r="T6" s="39">
        <f>DATE(YEAR(S6),12,31)</f>
        <v>46387</v>
      </c>
      <c r="U6" s="39">
        <f>EOMONTH(T6,12)</f>
        <v>46752</v>
      </c>
      <c r="V6" s="39">
        <f>EOMONTH(U6,12)</f>
        <v>47118</v>
      </c>
      <c r="W6" s="39">
        <f>EOMONTH(V6,12)</f>
        <v>47483</v>
      </c>
      <c r="X6" s="39">
        <f>EOMONTH(W6,12)</f>
        <v>47848</v>
      </c>
      <c r="Y6" s="39">
        <f>EOMONTH(X6,12)</f>
        <v>48213</v>
      </c>
    </row>
    <row r="7">
      <c r="B7" t="s" s="3">
        <v>216</v>
      </c>
      <c r="C7" s="40"/>
      <c r="D7" s="40">
        <f>MAX(0,(D$6-MAX('Term Sheet'!$C$7,EDATE(D$6,-12))))/(D$6-EDATE(D$6,-12))</f>
        <v>0.5178082191780822</v>
      </c>
      <c r="E7" s="40">
        <f>MAX(0,(E$6-MAX('Term Sheet'!$C$7,EDATE(E$6,-12))))/(E$6-EDATE(E$6,-12))</f>
        <v>1</v>
      </c>
      <c r="F7" s="40">
        <f>MAX(0,(F$6-MAX('Term Sheet'!$C$7,EDATE(F$6,-12))))/(F$6-EDATE(F$6,-12))</f>
        <v>1</v>
      </c>
      <c r="G7" s="40">
        <f>MAX(0,(G$6-MAX('Term Sheet'!$C$7,EDATE(G$6,-12))))/(G$6-EDATE(G$6,-12))</f>
        <v>1</v>
      </c>
      <c r="H7" s="40">
        <f>MAX(0,(H$6-MAX('Term Sheet'!$C$7,EDATE(H$6,-12))))/(H$6-EDATE(H$6,-12))</f>
        <v>1</v>
      </c>
      <c r="I7" s="40">
        <f>MAX(0,(I$6-MAX('Term Sheet'!$C$7,EDATE(I$6,-12))))/(I$6-EDATE(I$6,-12))</f>
        <v>1</v>
      </c>
      <c r="J7" s="40"/>
      <c r="K7" s="40"/>
      <c r="L7" s="40">
        <f>MAX(0,(L$6-MAX('Term Sheet'!$C$7,EDATE(L$6,-12))))/(L$6-EDATE(L$6,-12))</f>
        <v>0.5178082191780822</v>
      </c>
      <c r="M7" s="40">
        <f>MAX(0,(M$6-MAX('Term Sheet'!$C$7,EDATE(M$6,-12))))/(M$6-EDATE(M$6,-12))</f>
        <v>1</v>
      </c>
      <c r="N7" s="40">
        <f>MAX(0,(N$6-MAX('Term Sheet'!$C$7,EDATE(N$6,-12))))/(N$6-EDATE(N$6,-12))</f>
        <v>1</v>
      </c>
      <c r="O7" s="40">
        <f>MAX(0,(O$6-MAX('Term Sheet'!$C$7,EDATE(O$6,-12))))/(O$6-EDATE(O$6,-12))</f>
        <v>1</v>
      </c>
      <c r="P7" s="40">
        <f>MAX(0,(P$6-MAX('Term Sheet'!$C$7,EDATE(P$6,-12))))/(P$6-EDATE(P$6,-12))</f>
        <v>1</v>
      </c>
      <c r="Q7" s="40">
        <f>MAX(0,(Q$6-MAX('Term Sheet'!$C$7,EDATE(Q$6,-12))))/(Q$6-EDATE(Q$6,-12))</f>
        <v>1</v>
      </c>
      <c r="S7" s="40"/>
      <c r="T7" s="40">
        <f>MAX(0,(T$6-MAX('Term Sheet'!$C$7,EDATE(T$6,-12))))/(T$6-EDATE(T$6,-12))</f>
        <v>0.5178082191780822</v>
      </c>
      <c r="U7" s="40">
        <f>MAX(0,(U$6-MAX('Term Sheet'!$C$7,EDATE(U$6,-12))))/(U$6-EDATE(U$6,-12))</f>
        <v>1</v>
      </c>
      <c r="V7" s="40">
        <f>MAX(0,(V$6-MAX('Term Sheet'!$C$7,EDATE(V$6,-12))))/(V$6-EDATE(V$6,-12))</f>
        <v>1</v>
      </c>
      <c r="W7" s="40">
        <f>MAX(0,(W$6-MAX('Term Sheet'!$C$7,EDATE(W$6,-12))))/(W$6-EDATE(W$6,-12))</f>
        <v>1</v>
      </c>
      <c r="X7" s="40">
        <f>MAX(0,(X$6-MAX('Term Sheet'!$C$7,EDATE(X$6,-12))))/(X$6-EDATE(X$6,-12))</f>
        <v>1</v>
      </c>
      <c r="Y7" s="40">
        <f>MAX(0,(Y$6-MAX('Term Sheet'!$C$7,EDATE(Y$6,-12))))/(Y$6-EDATE(Y$6,-12))</f>
        <v>1</v>
      </c>
    </row>
    <row r="8">
      <c r="S8"/>
      <c r="T8"/>
      <c r="U8"/>
      <c r="V8"/>
      <c r="W8"/>
      <c r="X8"/>
      <c r="Y8"/>
    </row>
    <row r="9">
      <c r="B9" t="s" s="34">
        <v>217</v>
      </c>
      <c r="C9" s="34"/>
      <c r="D9" s="34"/>
      <c r="E9" s="34"/>
      <c r="F9" s="34"/>
      <c r="G9" s="34"/>
      <c r="H9" s="34"/>
      <c r="I9" s="34"/>
      <c r="J9" s="34"/>
      <c r="K9" s="34"/>
      <c r="L9" s="34"/>
      <c r="M9" s="34"/>
      <c r="N9" s="34"/>
      <c r="O9" s="34"/>
      <c r="P9" s="34"/>
      <c r="Q9" s="34"/>
      <c r="R9" s="34"/>
      <c r="S9" s="34"/>
      <c r="T9" s="34"/>
      <c r="U9" s="34"/>
      <c r="V9" s="34"/>
      <c r="W9" s="34"/>
      <c r="X9" s="34"/>
      <c r="Y9" s="34"/>
    </row>
    <row r="10">
      <c r="B10" t="s" s="9">
        <v>218</v>
      </c>
      <c r="C10" s="10"/>
      <c r="D10" s="44">
        <v>936.4459959181302</v>
      </c>
      <c r="E10" s="44">
        <v>1063.9840547636156</v>
      </c>
      <c r="F10" s="44">
        <v>1198.2521550674492</v>
      </c>
      <c r="G10" s="44">
        <v>1337.4815241701785</v>
      </c>
      <c r="H10" s="44">
        <v>1479.5136556293476</v>
      </c>
      <c r="I10" s="44">
        <v>1627.4650211922824</v>
      </c>
      <c r="J10" s="10"/>
      <c r="K10" s="10"/>
      <c r="L10" s="44">
        <v>941.7615342465755</v>
      </c>
      <c r="M10" s="44">
        <v>1102.0613698630139</v>
      </c>
      <c r="N10" s="44">
        <v>1300.4324164383563</v>
      </c>
      <c r="O10" s="44">
        <v>1533.8690520547948</v>
      </c>
      <c r="P10" s="44">
        <v>1810.386268493151</v>
      </c>
      <c r="Q10" s="44">
        <v>2100.048071452055</v>
      </c>
      <c r="S10" s="10"/>
      <c r="T10" s="10">
        <f>$S$144*(1+T145)</f>
        <v>914.5049559181305</v>
      </c>
      <c r="U10" s="10">
        <f>T10*(1+U145)</f>
        <v>1011.6196343430256</v>
      </c>
      <c r="V10" s="10">
        <f>U10*(1+V145)</f>
        <v>1108.9310848830398</v>
      </c>
      <c r="W10" s="10">
        <f>V10*(1+W145)</f>
        <v>1204.5139744892365</v>
      </c>
      <c r="X10" s="10">
        <f>W10*(1+X145)</f>
        <v>1296.2903686720983</v>
      </c>
      <c r="Y10" s="10">
        <f>X10*(1+Y145)</f>
        <v>1387.0306944791453</v>
      </c>
    </row>
    <row r="11">
      <c r="B11" t="s" s="9">
        <v>219</v>
      </c>
      <c r="C11" s="10"/>
      <c r="D11" s="44">
        <v>334.71799748251317</v>
      </c>
      <c r="E11" s="44">
        <v>395.47458677782515</v>
      </c>
      <c r="F11" s="44">
        <v>453.016663807723</v>
      </c>
      <c r="G11" s="44">
        <v>514.1772394971034</v>
      </c>
      <c r="H11" s="44">
        <v>573.4936124361247</v>
      </c>
      <c r="I11" s="44">
        <v>636.0283537011794</v>
      </c>
      <c r="J11" s="10"/>
      <c r="K11" s="10"/>
      <c r="L11" s="44">
        <v>338.6334027397261</v>
      </c>
      <c r="M11" s="44">
        <v>418.78332054794527</v>
      </c>
      <c r="N11" s="44">
        <v>518.9707178082192</v>
      </c>
      <c r="O11" s="44">
        <v>635.1880986301371</v>
      </c>
      <c r="P11" s="44">
        <v>764.4298410958905</v>
      </c>
      <c r="Q11" s="44">
        <v>896.7205265100274</v>
      </c>
      <c r="S11" s="10"/>
      <c r="T11" s="10">
        <f>T10*T146</f>
        <v>313.15794103212414</v>
      </c>
      <c r="U11" s="10">
        <f>U10*U146</f>
        <v>360.8368450098976</v>
      </c>
      <c r="V11" s="10">
        <f>V10*V146</f>
        <v>402.61356717944</v>
      </c>
      <c r="W11" s="10">
        <f>W10*W146</f>
        <v>444.9918984193532</v>
      </c>
      <c r="X11" s="10">
        <f>X10*X146</f>
        <v>483.027685513492</v>
      </c>
      <c r="Y11" s="10">
        <f>Y10*Y146</f>
        <v>521.258938912441</v>
      </c>
    </row>
    <row r="12">
      <c r="B12" t="s" s="9">
        <v>220</v>
      </c>
      <c r="C12" s="10"/>
      <c r="D12" s="44">
        <v>127.896</v>
      </c>
      <c r="E12" s="44">
        <v>127.896</v>
      </c>
      <c r="F12" s="44">
        <v>135.96583567073958</v>
      </c>
      <c r="G12" s="44">
        <v>143.8650234334759</v>
      </c>
      <c r="H12" s="44">
        <v>151.50380406386913</v>
      </c>
      <c r="I12" s="44">
        <v>159.0789942670626</v>
      </c>
      <c r="J12" s="10"/>
      <c r="K12" s="10"/>
      <c r="L12" s="44">
        <v>127</v>
      </c>
      <c r="M12" s="44">
        <v>127</v>
      </c>
      <c r="N12" s="44">
        <v>127</v>
      </c>
      <c r="O12" s="44">
        <v>127</v>
      </c>
      <c r="P12" s="44">
        <v>127</v>
      </c>
      <c r="Q12" s="44">
        <v>127</v>
      </c>
      <c r="S12" s="10"/>
      <c r="T12" s="44">
        <v>127.896</v>
      </c>
      <c r="U12" s="44">
        <v>127.896</v>
      </c>
      <c r="V12" s="44">
        <v>135.96583567073958</v>
      </c>
      <c r="W12" s="44">
        <v>143.8650234334759</v>
      </c>
      <c r="X12" s="44">
        <v>151.50380406386913</v>
      </c>
      <c r="Y12" s="44">
        <v>159.0789942670626</v>
      </c>
    </row>
    <row r="13">
      <c r="B13" t="s" s="9">
        <v>221</v>
      </c>
      <c r="C13" s="24"/>
      <c r="D13" s="45">
        <v>0.01671739952828644</v>
      </c>
      <c r="E13" s="45">
        <v>0.01671739952828644</v>
      </c>
      <c r="F13" s="45">
        <v>0.01671739952828644</v>
      </c>
      <c r="G13" s="45">
        <v>0.01671739952828644</v>
      </c>
      <c r="H13" s="45">
        <v>0.01671739952828644</v>
      </c>
      <c r="I13" s="45">
        <v>0.01671739952828644</v>
      </c>
      <c r="J13" s="24"/>
      <c r="K13" s="24"/>
      <c r="L13" s="45">
        <v>0.022</v>
      </c>
      <c r="M13" s="45">
        <v>0.015</v>
      </c>
      <c r="N13" s="45">
        <v>0.015</v>
      </c>
      <c r="O13" s="45">
        <v>0.015</v>
      </c>
      <c r="P13" s="45">
        <v>0.015</v>
      </c>
      <c r="Q13" s="45">
        <v>0.015</v>
      </c>
      <c r="S13" s="24"/>
      <c r="T13" s="45">
        <v>0.01671739952828644</v>
      </c>
      <c r="U13" s="45">
        <v>0.01671739952828644</v>
      </c>
      <c r="V13" s="45">
        <v>0.01671739952828644</v>
      </c>
      <c r="W13" s="45">
        <v>0.01671739952828644</v>
      </c>
      <c r="X13" s="45">
        <v>0.01671739952828644</v>
      </c>
      <c r="Y13" s="45">
        <v>0.01671739952828644</v>
      </c>
    </row>
    <row r="14">
      <c r="B14" t="s" s="9">
        <v>222</v>
      </c>
      <c r="C14" s="24"/>
      <c r="D14" s="45">
        <v>0.027201017959324163</v>
      </c>
      <c r="E14" s="45">
        <v>0.027201017959324163</v>
      </c>
      <c r="F14" s="45">
        <v>0.027201017959324163</v>
      </c>
      <c r="G14" s="45">
        <v>0.027201017959324163</v>
      </c>
      <c r="H14" s="45">
        <v>0.027201017959324163</v>
      </c>
      <c r="I14" s="45">
        <v>0.027201017959324163</v>
      </c>
      <c r="J14" s="24"/>
      <c r="K14" s="24"/>
      <c r="L14" s="45">
        <v>0.02</v>
      </c>
      <c r="M14" s="45">
        <v>0.02</v>
      </c>
      <c r="N14" s="45">
        <v>0.02</v>
      </c>
      <c r="O14" s="45">
        <v>0.02</v>
      </c>
      <c r="P14" s="45">
        <v>0.02</v>
      </c>
      <c r="Q14" s="45">
        <v>0.02</v>
      </c>
      <c r="S14" s="24"/>
      <c r="T14" s="45">
        <v>0.027201017959324163</v>
      </c>
      <c r="U14" s="45">
        <v>0.027201017959324163</v>
      </c>
      <c r="V14" s="45">
        <v>0.027201017959324163</v>
      </c>
      <c r="W14" s="45">
        <v>0.027201017959324163</v>
      </c>
      <c r="X14" s="45">
        <v>0.027201017959324163</v>
      </c>
      <c r="Y14" s="45">
        <v>0.027201017959324163</v>
      </c>
    </row>
    <row r="15">
      <c r="B15" t="s" s="9">
        <v>223</v>
      </c>
      <c r="C15" s="24"/>
      <c r="D15" s="45">
        <v>0.013868664424732441</v>
      </c>
      <c r="E15" s="45">
        <v>0.013868664424732441</v>
      </c>
      <c r="F15" s="45">
        <v>0.013868664424732441</v>
      </c>
      <c r="G15" s="45">
        <v>0.013868664424732441</v>
      </c>
      <c r="H15" s="45">
        <v>0.013868664424732441</v>
      </c>
      <c r="I15" s="45">
        <v>0.013868664424732441</v>
      </c>
      <c r="J15" s="24"/>
      <c r="K15" s="24"/>
      <c r="L15" s="45">
        <v>0.015</v>
      </c>
      <c r="M15" s="45">
        <v>0.015</v>
      </c>
      <c r="N15" s="45">
        <v>0.015</v>
      </c>
      <c r="O15" s="45">
        <v>0.015</v>
      </c>
      <c r="P15" s="45">
        <v>0.015</v>
      </c>
      <c r="Q15" s="45">
        <v>0.015</v>
      </c>
      <c r="S15" s="24"/>
      <c r="T15" s="45">
        <v>0.013868664424732441</v>
      </c>
      <c r="U15" s="45">
        <v>0.013868664424732441</v>
      </c>
      <c r="V15" s="45">
        <v>0.013868664424732441</v>
      </c>
      <c r="W15" s="45">
        <v>0.013868664424732441</v>
      </c>
      <c r="X15" s="45">
        <v>0.013868664424732441</v>
      </c>
      <c r="Y15" s="45">
        <v>0.013868664424732441</v>
      </c>
    </row>
    <row r="16">
      <c r="B16" t="s" s="9">
        <v>224</v>
      </c>
      <c r="C16" s="10"/>
      <c r="D16" s="44">
        <v>89.17061440623087</v>
      </c>
      <c r="E16" s="44">
        <v>227.109547846625</v>
      </c>
      <c r="F16" s="44">
        <v>270.9251581580244</v>
      </c>
      <c r="G16" s="44">
        <v>318.2522605391023</v>
      </c>
      <c r="H16" s="44">
        <v>363.96906609455505</v>
      </c>
      <c r="I16" s="44">
        <v>412.6799229707839</v>
      </c>
      <c r="J16" s="10"/>
      <c r="K16" s="10"/>
      <c r="L16" s="44">
        <v>92.92994746702246</v>
      </c>
      <c r="M16" s="44">
        <v>260.0933813221918</v>
      </c>
      <c r="N16" s="44">
        <v>352.94337721241646</v>
      </c>
      <c r="O16" s="44">
        <v>460.59153708592345</v>
      </c>
      <c r="P16" s="44">
        <v>579.9847251517535</v>
      </c>
      <c r="Q16" s="44">
        <v>702.0236251354706</v>
      </c>
      <c r="S16" s="10"/>
      <c r="T16" s="10">
        <f>(T11-T12)*T7-(T13-T15+T14)*T10*T7-T162</f>
        <v>78.7295061790618</v>
      </c>
      <c r="U16" s="10">
        <f>(U11-U12)*U7-(U13-U15+U14)*U10*U7-U162</f>
        <v>195.2149130000479</v>
      </c>
      <c r="V16" s="10">
        <f>(V11-V12)*V7-(V13-V15+V14)*V10*V7-V162</f>
        <v>224.89732151095015</v>
      </c>
      <c r="W16" s="10">
        <f>(W11-W12)*W7-(W13-W15+W14)*W10*W7-W162</f>
        <v>255.37548958422536</v>
      </c>
      <c r="X16" s="10">
        <f>(X11-X12)*X7-(X13-X15+X14)*X10*X7-X162</f>
        <v>282.0256719456487</v>
      </c>
      <c r="Y16" s="10">
        <f>(Y11-Y12)*Y7-(Y13-Y15+Y14)*Y10*Y7-Y162</f>
        <v>308.95613177382614</v>
      </c>
    </row>
    <row r="17">
      <c r="B17" t="s" s="9">
        <v>225</v>
      </c>
      <c r="C17" s="10"/>
      <c r="D17" s="10">
        <f>-D13*D10*D7</f>
        <v>-8.10625756090628</v>
      </c>
      <c r="E17" s="10">
        <f>-E13*E10*E7</f>
        <v>-17.787046535209562</v>
      </c>
      <c r="F17" s="10">
        <f>-F13*F10*F7</f>
        <v>-20.031660011892786</v>
      </c>
      <c r="G17" s="10">
        <f>-G13*G10*G7</f>
        <v>-22.35921300125437</v>
      </c>
      <c r="H17" s="10">
        <f>-H13*H10*H7</f>
        <v>-24.7336208887114</v>
      </c>
      <c r="I17" s="10">
        <f>-I13*I10*I7</f>
        <v>-27.20698297758254</v>
      </c>
      <c r="J17" s="10"/>
      <c r="K17" s="10"/>
      <c r="L17" s="10">
        <f>-L13*L10*L7</f>
        <v>-10.72834098465003</v>
      </c>
      <c r="M17" s="10">
        <f>-M13*M10*M7</f>
        <v>-16.530920547945207</v>
      </c>
      <c r="N17" s="10">
        <f>-N13*N10*N7</f>
        <v>-19.506486246575346</v>
      </c>
      <c r="O17" s="10">
        <f>-O13*O10*O7</f>
        <v>-23.00803578082192</v>
      </c>
      <c r="P17" s="10">
        <f>-P13*P10*P7</f>
        <v>-27.155794027397263</v>
      </c>
      <c r="Q17" s="10">
        <f>-Q13*Q10*Q7</f>
        <v>-31.500721071780823</v>
      </c>
      <c r="S17" s="10"/>
      <c r="T17" s="10">
        <f>-T13*T10*T7</f>
        <v>-7.9163269913172005</v>
      </c>
      <c r="U17" s="10">
        <f>-U13*U10*U7</f>
        <v>-16.911649597971397</v>
      </c>
      <c r="V17" s="10">
        <f>-V13*V10*V7</f>
        <v>-18.5384439953259</v>
      </c>
      <c r="W17" s="10">
        <f>-W13*W10*W7</f>
        <v>-20.136341348940785</v>
      </c>
      <c r="X17" s="10">
        <f>-X13*X10*X7</f>
        <v>-21.67060399776119</v>
      </c>
      <c r="Y17" s="10">
        <f>-Y13*Y10*Y7</f>
        <v>-23.187546277604476</v>
      </c>
    </row>
    <row r="18">
      <c r="B18" t="s" s="9">
        <v>226</v>
      </c>
      <c r="C18" s="10"/>
      <c r="D18" s="10">
        <f>-((D11-D12)*D7-(D13-D15+D14)*D10*D7-D16)</f>
        <v>-3.3524075599540453</v>
      </c>
      <c r="E18" s="10">
        <f>-((E11-E12)*E7-(E13-E15+E14)*E10*E7-E16)</f>
        <v>-8.496580822713668</v>
      </c>
      <c r="F18" s="10">
        <f>-((F11-F12)*F7-(F13-F15+F14)*F10*F7-F16)</f>
        <v>-10.118488612120586</v>
      </c>
      <c r="G18" s="10">
        <f>-((G11-G12)*G7-(G13-G15+G14)*G10*G7-G16)</f>
        <v>-11.868965997049429</v>
      </c>
      <c r="H18" s="10">
        <f>-((H11-H12)*H7-(H13-H15+H14)*H10*H7-H16)</f>
        <v>-13.561722272882548</v>
      </c>
      <c r="I18" s="10">
        <f>-((I11-I12)*I7-(I13-I15+I14)*I10*I7-I16)</f>
        <v>-15.364514458033057</v>
      </c>
      <c r="J18" s="10"/>
      <c r="K18" s="10"/>
      <c r="L18" s="10">
        <f>-((L11-L12)*L7-(L13-L15+L14)*L10*L7-L16)</f>
        <v>-3.4889676248897388</v>
      </c>
      <c r="M18" s="10">
        <f>-((M11-M12)*M7-(M13-M15+M14)*M10*M7-M16)</f>
        <v>-9.648711828493163</v>
      </c>
      <c r="N18" s="10">
        <f>-((N11-N12)*N7-(N13-N15+N14)*N10*N7-N16)</f>
        <v>-13.01869226703559</v>
      </c>
      <c r="O18" s="10">
        <f>-((O11-O12)*O7-(O13-O15+O14)*O10*O7-O16)</f>
        <v>-16.919180503117786</v>
      </c>
      <c r="P18" s="10">
        <f>-((P11-P12)*P7-(P13-P15+P14)*P10*P7-P16)</f>
        <v>-21.237390574273945</v>
      </c>
      <c r="Q18" s="10">
        <f>-((Q11-Q12)*Q7-(Q13-Q15+Q14)*Q10*Q7-Q16)</f>
        <v>-25.695939945515647</v>
      </c>
      <c r="S18" s="10"/>
      <c r="T18" s="10">
        <f>-((T11-T12)*T7-(T13-T15+T14)*T10*T7-T16)</f>
        <v>-2.970944133675559</v>
      </c>
      <c r="U18" s="10">
        <f>-((U11-U12)*U7-(U13-U15+U14)*U10*U7-U16)</f>
        <v>-7.327011804282705</v>
      </c>
      <c r="V18" s="10">
        <f>-((V11-V12)*V7-(V13-V15+V14)*V10*V7-V16)</f>
        <v>-8.427304733265345</v>
      </c>
      <c r="W18" s="10">
        <f>-((W11-W12)*W7-(W13-W15+W14)*W10*W7-W16)</f>
        <v>-9.556037907464429</v>
      </c>
      <c r="X18" s="10">
        <f>-((X11-X12)*X7-(X13-X15+X14)*X10*X7-X16)</f>
        <v>-10.545004027590323</v>
      </c>
      <c r="Y18" s="10">
        <f>-((Y11-Y12)*Y7-(Y13-Y15+Y14)*Y10*Y7-Y16)</f>
        <v>-11.543883011821492</v>
      </c>
    </row>
    <row r="19">
      <c r="B19" t="s" s="9">
        <v>227</v>
      </c>
      <c r="C19" s="10"/>
      <c r="D19" s="10">
        <f>IF(AND(Scenarios!$C$17=1,D$6&gt;=Scenarios!$C$21),Scenarios!$C$24*(1+Scenarios!$C$26)^(YEAR(D$6)-YEAR(Scenarios!$C$21)),0)</f>
        <v>0</v>
      </c>
      <c r="E19" s="10">
        <f>IF(AND(Scenarios!$C$17=1,E$6&gt;=Scenarios!$C$21),Scenarios!$C$24*(1+Scenarios!$C$26)^(YEAR(E$6)-YEAR(Scenarios!$C$21)),0)</f>
        <v>0</v>
      </c>
      <c r="F19" s="10">
        <f>IF(AND(Scenarios!$C$17=1,F$6&gt;=Scenarios!$C$21),Scenarios!$C$24*(1+Scenarios!$C$26)^(YEAR(F$6)-YEAR(Scenarios!$C$21)),0)</f>
        <v>0</v>
      </c>
      <c r="G19" s="10">
        <f>IF(AND(Scenarios!$C$17=1,G$6&gt;=Scenarios!$C$21),Scenarios!$C$24*(1+Scenarios!$C$26)^(YEAR(G$6)-YEAR(Scenarios!$C$21)),0)</f>
        <v>0</v>
      </c>
      <c r="H19" s="10">
        <f>IF(AND(Scenarios!$C$17=1,H$6&gt;=Scenarios!$C$21),Scenarios!$C$24*(1+Scenarios!$C$26)^(YEAR(H$6)-YEAR(Scenarios!$C$21)),0)</f>
        <v>0</v>
      </c>
      <c r="I19" s="10">
        <f>IF(AND(Scenarios!$C$17=1,I$6&gt;=Scenarios!$C$21),Scenarios!$C$24*(1+Scenarios!$C$26)^(YEAR(I$6)-YEAR(Scenarios!$C$21)),0)</f>
        <v>0</v>
      </c>
      <c r="J19" s="10"/>
      <c r="K19" s="10"/>
      <c r="L19" s="10">
        <f>IF(AND(Scenarios!$C$17=1,L$6&gt;=Scenarios!$C$21),Scenarios!$C$24*(1+Scenarios!$C$26)^(YEAR(L$6)-YEAR(Scenarios!$C$21)),0)</f>
        <v>0</v>
      </c>
      <c r="M19" s="10">
        <f>IF(AND(Scenarios!$C$17=1,M$6&gt;=Scenarios!$C$21),Scenarios!$C$24*(1+Scenarios!$C$26)^(YEAR(M$6)-YEAR(Scenarios!$C$21)),0)</f>
        <v>0</v>
      </c>
      <c r="N19" s="10">
        <f>IF(AND(Scenarios!$C$17=1,N$6&gt;=Scenarios!$C$21),Scenarios!$C$24*(1+Scenarios!$C$26)^(YEAR(N$6)-YEAR(Scenarios!$C$21)),0)</f>
        <v>0</v>
      </c>
      <c r="O19" s="10">
        <f>IF(AND(Scenarios!$C$17=1,O$6&gt;=Scenarios!$C$21),Scenarios!$C$24*(1+Scenarios!$C$26)^(YEAR(O$6)-YEAR(Scenarios!$C$21)),0)</f>
        <v>0</v>
      </c>
      <c r="P19" s="10">
        <f>IF(AND(Scenarios!$C$17=1,P$6&gt;=Scenarios!$C$21),Scenarios!$C$24*(1+Scenarios!$C$26)^(YEAR(P$6)-YEAR(Scenarios!$C$21)),0)</f>
        <v>0</v>
      </c>
      <c r="Q19" s="10">
        <f>IF(AND(Scenarios!$C$17=1,Q$6&gt;=Scenarios!$C$21),Scenarios!$C$24*(1+Scenarios!$C$26)^(YEAR(Q$6)-YEAR(Scenarios!$C$21)),0)</f>
        <v>0</v>
      </c>
      <c r="S19" s="10"/>
      <c r="T19" s="10">
        <f>IF(AND(Scenarios!$C$17=1,T$6&gt;=Scenarios!$C$21),Scenarios!$C$24*(1+Scenarios!$C$26)^(YEAR(T$6)-YEAR(Scenarios!$C$21)),0)</f>
        <v>0</v>
      </c>
      <c r="U19" s="10">
        <f>IF(AND(Scenarios!$C$17=1,U$6&gt;=Scenarios!$C$21),Scenarios!$C$24*(1+Scenarios!$C$26)^(YEAR(U$6)-YEAR(Scenarios!$C$21)),0)</f>
        <v>0</v>
      </c>
      <c r="V19" s="10">
        <f>IF(AND(Scenarios!$C$17=1,V$6&gt;=Scenarios!$C$21),Scenarios!$C$24*(1+Scenarios!$C$26)^(YEAR(V$6)-YEAR(Scenarios!$C$21)),0)</f>
        <v>0</v>
      </c>
      <c r="W19" s="10">
        <f>IF(AND(Scenarios!$C$17=1,W$6&gt;=Scenarios!$C$21),Scenarios!$C$24*(1+Scenarios!$C$26)^(YEAR(W$6)-YEAR(Scenarios!$C$21)),0)</f>
        <v>0</v>
      </c>
      <c r="X19" s="10">
        <f>IF(AND(Scenarios!$C$17=1,X$6&gt;=Scenarios!$C$21),Scenarios!$C$24*(1+Scenarios!$C$26)^(YEAR(X$6)-YEAR(Scenarios!$C$21)),0)</f>
        <v>0</v>
      </c>
      <c r="Y19" s="10">
        <f>IF(AND(Scenarios!$C$17=1,Y$6&gt;=Scenarios!$C$21),Scenarios!$C$24*(1+Scenarios!$C$26)^(YEAR(Y$6)-YEAR(Scenarios!$C$21)),0)</f>
        <v>0</v>
      </c>
    </row>
    <row r="20">
      <c r="B20" t="s" s="9">
        <v>228</v>
      </c>
      <c r="C20" s="10"/>
      <c r="D20" s="10">
        <f>D19*IF(YEAR(D$6)=YEAR(Scenarios!$C$21),Scenarios!$C$25,1)*D7</f>
        <v>0</v>
      </c>
      <c r="E20" s="10">
        <f>E19*IF(YEAR(E$6)=YEAR(Scenarios!$C$21),Scenarios!$C$25,1)*E7</f>
        <v>0</v>
      </c>
      <c r="F20" s="10">
        <f>F19*IF(YEAR(F$6)=YEAR(Scenarios!$C$21),Scenarios!$C$25,1)*F7</f>
        <v>0</v>
      </c>
      <c r="G20" s="10">
        <f>G19*IF(YEAR(G$6)=YEAR(Scenarios!$C$21),Scenarios!$C$25,1)*G7</f>
        <v>0</v>
      </c>
      <c r="H20" s="10">
        <f>H19*IF(YEAR(H$6)=YEAR(Scenarios!$C$21),Scenarios!$C$25,1)*H7</f>
        <v>0</v>
      </c>
      <c r="I20" s="10">
        <f>I19*IF(YEAR(I$6)=YEAR(Scenarios!$C$21),Scenarios!$C$25,1)*I7</f>
        <v>0</v>
      </c>
      <c r="J20" s="10"/>
      <c r="K20" s="10"/>
      <c r="L20" s="10">
        <f>L19*IF(YEAR(L$6)=YEAR(Scenarios!$C$21),Scenarios!$C$25,1)*L7</f>
        <v>0</v>
      </c>
      <c r="M20" s="10">
        <f>M19*IF(YEAR(M$6)=YEAR(Scenarios!$C$21),Scenarios!$C$25,1)*M7</f>
        <v>0</v>
      </c>
      <c r="N20" s="10">
        <f>N19*IF(YEAR(N$6)=YEAR(Scenarios!$C$21),Scenarios!$C$25,1)*N7</f>
        <v>0</v>
      </c>
      <c r="O20" s="10">
        <f>O19*IF(YEAR(O$6)=YEAR(Scenarios!$C$21),Scenarios!$C$25,1)*O7</f>
        <v>0</v>
      </c>
      <c r="P20" s="10">
        <f>P19*IF(YEAR(P$6)=YEAR(Scenarios!$C$21),Scenarios!$C$25,1)*P7</f>
        <v>0</v>
      </c>
      <c r="Q20" s="10">
        <f>Q19*IF(YEAR(Q$6)=YEAR(Scenarios!$C$21),Scenarios!$C$25,1)*Q7</f>
        <v>0</v>
      </c>
      <c r="S20" s="10"/>
      <c r="T20" s="10">
        <f>T19*IF(YEAR(T$6)=YEAR(Scenarios!$C$21),Scenarios!$C$25,1)*T7</f>
        <v>0</v>
      </c>
      <c r="U20" s="10">
        <f>U19*IF(YEAR(U$6)=YEAR(Scenarios!$C$21),Scenarios!$C$25,1)*U7</f>
        <v>0</v>
      </c>
      <c r="V20" s="10">
        <f>V19*IF(YEAR(V$6)=YEAR(Scenarios!$C$21),Scenarios!$C$25,1)*V7</f>
        <v>0</v>
      </c>
      <c r="W20" s="10">
        <f>W19*IF(YEAR(W$6)=YEAR(Scenarios!$C$21),Scenarios!$C$25,1)*W7</f>
        <v>0</v>
      </c>
      <c r="X20" s="10">
        <f>X19*IF(YEAR(X$6)=YEAR(Scenarios!$C$21),Scenarios!$C$25,1)*X7</f>
        <v>0</v>
      </c>
      <c r="Y20" s="10">
        <f>Y19*IF(YEAR(Y$6)=YEAR(Scenarios!$C$21),Scenarios!$C$25,1)*Y7</f>
        <v>0</v>
      </c>
    </row>
    <row r="21">
      <c r="B21" t="s" s="9">
        <v>229</v>
      </c>
      <c r="C21" s="10"/>
      <c r="D21" s="10">
        <f>D20*Scenarios!$C$27</f>
        <v>0</v>
      </c>
      <c r="E21" s="10">
        <f>E20*Scenarios!$C$27</f>
        <v>0</v>
      </c>
      <c r="F21" s="10">
        <f>F20*Scenarios!$C$27</f>
        <v>0</v>
      </c>
      <c r="G21" s="10">
        <f>G20*Scenarios!$C$27</f>
        <v>0</v>
      </c>
      <c r="H21" s="10">
        <f>H20*Scenarios!$C$27</f>
        <v>0</v>
      </c>
      <c r="I21" s="10">
        <f>I20*Scenarios!$C$27</f>
        <v>0</v>
      </c>
      <c r="J21" s="10"/>
      <c r="K21" s="10"/>
      <c r="L21" s="10">
        <f>L20*Scenarios!$C$27</f>
        <v>0</v>
      </c>
      <c r="M21" s="10">
        <f>M20*Scenarios!$C$27</f>
        <v>0</v>
      </c>
      <c r="N21" s="10">
        <f>N20*Scenarios!$C$27</f>
        <v>0</v>
      </c>
      <c r="O21" s="10">
        <f>O20*Scenarios!$C$27</f>
        <v>0</v>
      </c>
      <c r="P21" s="10">
        <f>P20*Scenarios!$C$27</f>
        <v>0</v>
      </c>
      <c r="Q21" s="10">
        <f>Q20*Scenarios!$C$27</f>
        <v>0</v>
      </c>
      <c r="S21" s="10"/>
      <c r="T21" s="10">
        <f>T20*Scenarios!$C$27</f>
        <v>0</v>
      </c>
      <c r="U21" s="10">
        <f>U20*Scenarios!$C$27</f>
        <v>0</v>
      </c>
      <c r="V21" s="10">
        <f>V20*Scenarios!$C$27</f>
        <v>0</v>
      </c>
      <c r="W21" s="10">
        <f>W20*Scenarios!$C$27</f>
        <v>0</v>
      </c>
      <c r="X21" s="10">
        <f>X20*Scenarios!$C$27</f>
        <v>0</v>
      </c>
      <c r="Y21" s="10">
        <f>Y20*Scenarios!$C$27</f>
        <v>0</v>
      </c>
    </row>
    <row r="22">
      <c r="B22" t="s" s="41">
        <v>230</v>
      </c>
      <c r="C22" s="42"/>
      <c r="D22" s="42">
        <f>D11+D19</f>
        <v>334.71799748251317</v>
      </c>
      <c r="E22" s="42">
        <f>E11+E19</f>
        <v>395.47458677782515</v>
      </c>
      <c r="F22" s="42">
        <f>F11+F19</f>
        <v>453.016663807723</v>
      </c>
      <c r="G22" s="42">
        <f>G11+G19</f>
        <v>514.1772394971034</v>
      </c>
      <c r="H22" s="42">
        <f>H11+H19</f>
        <v>573.4936124361247</v>
      </c>
      <c r="I22" s="42">
        <f>I11+I19</f>
        <v>636.0283537011794</v>
      </c>
      <c r="J22" s="10"/>
      <c r="K22" s="42"/>
      <c r="L22" s="42">
        <f>L11+L19</f>
        <v>338.6334027397261</v>
      </c>
      <c r="M22" s="42">
        <f>M11+M19</f>
        <v>418.78332054794527</v>
      </c>
      <c r="N22" s="42">
        <f>N11+N19</f>
        <v>518.9707178082192</v>
      </c>
      <c r="O22" s="42">
        <f>O11+O19</f>
        <v>635.1880986301371</v>
      </c>
      <c r="P22" s="42">
        <f>P11+P19</f>
        <v>764.4298410958905</v>
      </c>
      <c r="Q22" s="42">
        <f>Q11+Q19</f>
        <v>896.7205265100274</v>
      </c>
      <c r="S22" s="42"/>
      <c r="T22" s="42">
        <f>T11+T19</f>
        <v>313.15794103212414</v>
      </c>
      <c r="U22" s="42">
        <f>U11+U19</f>
        <v>360.8368450098976</v>
      </c>
      <c r="V22" s="42">
        <f>V11+V19</f>
        <v>402.61356717944</v>
      </c>
      <c r="W22" s="42">
        <f>W11+W19</f>
        <v>444.9918984193532</v>
      </c>
      <c r="X22" s="42">
        <f>X11+X19</f>
        <v>483.027685513492</v>
      </c>
      <c r="Y22" s="42">
        <f>Y11+Y19</f>
        <v>521.258938912441</v>
      </c>
    </row>
    <row r="23">
      <c r="B23" t="s" s="41">
        <v>231</v>
      </c>
      <c r="C23" s="42"/>
      <c r="D23" s="42">
        <f>D16+D21</f>
        <v>89.17061440623087</v>
      </c>
      <c r="E23" s="42">
        <f>E16+E21</f>
        <v>227.109547846625</v>
      </c>
      <c r="F23" s="42">
        <f>F16+F21</f>
        <v>270.9251581580244</v>
      </c>
      <c r="G23" s="42">
        <f>G16+G21</f>
        <v>318.2522605391023</v>
      </c>
      <c r="H23" s="42">
        <f>H16+H21</f>
        <v>363.96906609455505</v>
      </c>
      <c r="I23" s="42">
        <f>I16+I21</f>
        <v>412.6799229707839</v>
      </c>
      <c r="J23" s="10"/>
      <c r="K23" s="42"/>
      <c r="L23" s="42">
        <f>L16+L21</f>
        <v>92.92994746702246</v>
      </c>
      <c r="M23" s="42">
        <f>M16+M21</f>
        <v>260.0933813221918</v>
      </c>
      <c r="N23" s="42">
        <f>N16+N21</f>
        <v>352.94337721241646</v>
      </c>
      <c r="O23" s="42">
        <f>O16+O21</f>
        <v>460.59153708592345</v>
      </c>
      <c r="P23" s="42">
        <f>P16+P21</f>
        <v>579.9847251517535</v>
      </c>
      <c r="Q23" s="42">
        <f>Q16+Q21</f>
        <v>702.0236251354706</v>
      </c>
      <c r="S23" s="42"/>
      <c r="T23" s="42">
        <f>T16+T21</f>
        <v>78.7295061790618</v>
      </c>
      <c r="U23" s="42">
        <f>U16+U21</f>
        <v>195.2149130000479</v>
      </c>
      <c r="V23" s="42">
        <f>V16+V21</f>
        <v>224.89732151095015</v>
      </c>
      <c r="W23" s="42">
        <f>W16+W21</f>
        <v>255.37548958422536</v>
      </c>
      <c r="X23" s="42">
        <f>X16+X21</f>
        <v>282.0256719456487</v>
      </c>
      <c r="Y23" s="42">
        <f>Y16+Y21</f>
        <v>308.95613177382614</v>
      </c>
    </row>
    <row r="24">
      <c r="S24"/>
      <c r="T24"/>
      <c r="U24"/>
      <c r="V24"/>
      <c r="W24"/>
      <c r="X24"/>
      <c r="Y24"/>
    </row>
    <row r="25">
      <c r="B25" t="s" s="34">
        <v>232</v>
      </c>
      <c r="C25" s="34"/>
      <c r="D25" s="34"/>
      <c r="E25" s="34"/>
      <c r="F25" s="34"/>
      <c r="G25" s="34"/>
      <c r="H25" s="34"/>
      <c r="I25" s="34"/>
      <c r="J25" s="34"/>
      <c r="K25" s="34"/>
      <c r="L25" s="34"/>
      <c r="M25" s="34"/>
      <c r="N25" s="34"/>
      <c r="O25" s="34"/>
      <c r="P25" s="34"/>
      <c r="Q25" s="34"/>
      <c r="R25" s="34"/>
      <c r="S25" s="34"/>
      <c r="T25" s="34"/>
      <c r="U25" s="34"/>
      <c r="V25" s="34"/>
      <c r="W25" s="34"/>
      <c r="X25" s="34"/>
      <c r="Y25" s="34"/>
    </row>
    <row r="26">
      <c r="B26" t="s" s="9">
        <v>612</v>
      </c>
      <c r="C26" s="12"/>
      <c r="D26" s="12">
        <f>INDEX('Rate Cases'!$D$60:$I$60,MATCH(D$6,'Rate Cases'!$D$52:$I$52,0))+Scenarios!$C$18</f>
        <v>0.038282924605291</v>
      </c>
      <c r="E26" s="12">
        <f>INDEX('Rate Cases'!$D$60:$I$60,MATCH(E$6,'Rate Cases'!$D$52:$I$52,0))+Scenarios!$C$18</f>
        <v>0.04505393053616438</v>
      </c>
      <c r="F26" s="12">
        <f>INDEX('Rate Cases'!$D$60:$I$60,MATCH(F$6,'Rate Cases'!$D$52:$I$52,0))+Scenarios!$C$18</f>
        <v>0.04598439985027322</v>
      </c>
      <c r="G26" s="12">
        <f>INDEX('Rate Cases'!$D$60:$I$60,MATCH(G$6,'Rate Cases'!$D$52:$I$52,0))+Scenarios!$C$18</f>
        <v>0.044875348657260276</v>
      </c>
      <c r="H26" s="12">
        <f>INDEX('Rate Cases'!$D$60:$I$60,MATCH(H$6,'Rate Cases'!$D$52:$I$52,0))+Scenarios!$C$18</f>
        <v>0.044172012921369866</v>
      </c>
      <c r="I26" s="12">
        <f>INDEX('Rate Cases'!$D$60:$I$60,MATCH(I$6,'Rate Cases'!$D$52:$I$52,0))+Scenarios!$C$18</f>
        <v>0.04407827134410959</v>
      </c>
      <c r="J26" s="12"/>
      <c r="K26" s="12"/>
      <c r="L26" s="12">
        <f>INDEX('Rate Cases'!$D$60:$I$60,MATCH(L$6,'Rate Cases'!$D$52:$I$52,0))+Scenarios!$C$18</f>
        <v>0.038282924605291</v>
      </c>
      <c r="M26" s="12">
        <f>INDEX('Rate Cases'!$D$60:$I$60,MATCH(M$6,'Rate Cases'!$D$52:$I$52,0))+Scenarios!$C$18</f>
        <v>0.04505393053616438</v>
      </c>
      <c r="N26" s="12">
        <f>INDEX('Rate Cases'!$D$60:$I$60,MATCH(N$6,'Rate Cases'!$D$52:$I$52,0))+Scenarios!$C$18</f>
        <v>0.04598439985027322</v>
      </c>
      <c r="O26" s="12">
        <f>INDEX('Rate Cases'!$D$60:$I$60,MATCH(O$6,'Rate Cases'!$D$52:$I$52,0))+Scenarios!$C$18</f>
        <v>0.044875348657260276</v>
      </c>
      <c r="P26" s="12">
        <f>INDEX('Rate Cases'!$D$60:$I$60,MATCH(P$6,'Rate Cases'!$D$52:$I$52,0))+Scenarios!$C$18</f>
        <v>0.044172012921369866</v>
      </c>
      <c r="Q26" s="12">
        <f>INDEX('Rate Cases'!$D$60:$I$60,MATCH(Q$6,'Rate Cases'!$D$52:$I$52,0))+Scenarios!$C$18</f>
        <v>0.04407827134410959</v>
      </c>
      <c r="S26" s="12"/>
      <c r="T26" s="12">
        <f>INDEX('Rate Cases'!$D$60:$I$60,MATCH(T$6,'Rate Cases'!$D$52:$I$52,0))+Scenarios!$C$18</f>
        <v>0.038282924605291</v>
      </c>
      <c r="U26" s="12">
        <f>INDEX('Rate Cases'!$D$60:$I$60,MATCH(U$6,'Rate Cases'!$D$52:$I$52,0))+Scenarios!$C$18</f>
        <v>0.04505393053616438</v>
      </c>
      <c r="V26" s="12">
        <f>INDEX('Rate Cases'!$D$60:$I$60,MATCH(V$6,'Rate Cases'!$D$52:$I$52,0))+Scenarios!$C$18</f>
        <v>0.04598439985027322</v>
      </c>
      <c r="W26" s="12">
        <f>INDEX('Rate Cases'!$D$60:$I$60,MATCH(W$6,'Rate Cases'!$D$52:$I$52,0))+Scenarios!$C$18</f>
        <v>0.044875348657260276</v>
      </c>
      <c r="X26" s="12">
        <f>INDEX('Rate Cases'!$D$60:$I$60,MATCH(X$6,'Rate Cases'!$D$52:$I$52,0))+Scenarios!$C$18</f>
        <v>0.044172012921369866</v>
      </c>
      <c r="Y26" s="12">
        <f>INDEX('Rate Cases'!$D$60:$I$60,MATCH(Y$6,'Rate Cases'!$D$52:$I$52,0))+Scenarios!$C$18</f>
        <v>0.04407827134410959</v>
      </c>
    </row>
    <row r="27">
      <c r="B27" t="s" s="9">
        <v>234</v>
      </c>
      <c r="C27" s="12"/>
      <c r="D27" s="12">
        <f>MAX(D26,'Term Sheet'!$C$19)</f>
        <v>0.038282924605291</v>
      </c>
      <c r="E27" s="12">
        <f>MAX(E26,'Term Sheet'!$C$19)</f>
        <v>0.04505393053616438</v>
      </c>
      <c r="F27" s="12">
        <f>MAX(F26,'Term Sheet'!$C$19)</f>
        <v>0.04598439985027322</v>
      </c>
      <c r="G27" s="12">
        <f>MAX(G26,'Term Sheet'!$C$19)</f>
        <v>0.044875348657260276</v>
      </c>
      <c r="H27" s="12">
        <f>MAX(H26,'Term Sheet'!$C$19)</f>
        <v>0.044172012921369866</v>
      </c>
      <c r="I27" s="12">
        <f>MAX(I26,'Term Sheet'!$C$19)</f>
        <v>0.04407827134410959</v>
      </c>
      <c r="J27" s="12"/>
      <c r="K27" s="12"/>
      <c r="L27" s="12">
        <f>MAX(L26,'Term Sheet'!$C$19)</f>
        <v>0.038282924605291</v>
      </c>
      <c r="M27" s="12">
        <f>MAX(M26,'Term Sheet'!$C$19)</f>
        <v>0.04505393053616438</v>
      </c>
      <c r="N27" s="12">
        <f>MAX(N26,'Term Sheet'!$C$19)</f>
        <v>0.04598439985027322</v>
      </c>
      <c r="O27" s="12">
        <f>MAX(O26,'Term Sheet'!$C$19)</f>
        <v>0.044875348657260276</v>
      </c>
      <c r="P27" s="12">
        <f>MAX(P26,'Term Sheet'!$C$19)</f>
        <v>0.044172012921369866</v>
      </c>
      <c r="Q27" s="12">
        <f>MAX(Q26,'Term Sheet'!$C$19)</f>
        <v>0.04407827134410959</v>
      </c>
      <c r="S27" s="12"/>
      <c r="T27" s="12">
        <f>MAX(T26,'Term Sheet'!$C$19)</f>
        <v>0.038282924605291</v>
      </c>
      <c r="U27" s="12">
        <f>MAX(U26,'Term Sheet'!$C$19)</f>
        <v>0.04505393053616438</v>
      </c>
      <c r="V27" s="12">
        <f>MAX(V26,'Term Sheet'!$C$19)</f>
        <v>0.04598439985027322</v>
      </c>
      <c r="W27" s="12">
        <f>MAX(W26,'Term Sheet'!$C$19)</f>
        <v>0.044875348657260276</v>
      </c>
      <c r="X27" s="12">
        <f>MAX(X26,'Term Sheet'!$C$19)</f>
        <v>0.044172012921369866</v>
      </c>
      <c r="Y27" s="12">
        <f>MAX(Y26,'Term Sheet'!$C$19)</f>
        <v>0.04407827134410959</v>
      </c>
    </row>
    <row r="28">
      <c r="B28" t="s" s="9">
        <v>235</v>
      </c>
      <c r="C28" s="12"/>
      <c r="D28" s="12">
        <f>'Term Sheet'!$C$18-IF(AND(C$6&gt;='Term Sheet'!$C$22,C120&lt;='Term Sheet'!$C$21),'Term Sheet'!$C$20,0)</f>
        <v>0.045</v>
      </c>
      <c r="E28" s="12">
        <f>'Term Sheet'!$C$18-IF(AND(D$6&gt;='Term Sheet'!$C$22,D120&lt;='Term Sheet'!$C$21),'Term Sheet'!$C$20,0)</f>
        <v>0.045</v>
      </c>
      <c r="F28" s="12">
        <f>'Term Sheet'!$C$18-IF(AND(E$6&gt;='Term Sheet'!$C$22,E120&lt;='Term Sheet'!$C$21),'Term Sheet'!$C$20,0)</f>
        <v>0.042499999999999996</v>
      </c>
      <c r="G28" s="12">
        <f>'Term Sheet'!$C$18-IF(AND(F$6&gt;='Term Sheet'!$C$22,F120&lt;='Term Sheet'!$C$21),'Term Sheet'!$C$20,0)</f>
        <v>0.042499999999999996</v>
      </c>
      <c r="H28" s="12">
        <f>'Term Sheet'!$C$18-IF(AND(G$6&gt;='Term Sheet'!$C$22,G120&lt;='Term Sheet'!$C$21),'Term Sheet'!$C$20,0)</f>
        <v>0.042499999999999996</v>
      </c>
      <c r="I28" s="12">
        <f>'Term Sheet'!$C$18-IF(AND(H$6&gt;='Term Sheet'!$C$22,H120&lt;='Term Sheet'!$C$21),'Term Sheet'!$C$20,0)</f>
        <v>0.042499999999999996</v>
      </c>
      <c r="J28" s="12"/>
      <c r="K28" s="12"/>
      <c r="L28" s="12">
        <f>'Term Sheet'!$C$18-IF(AND(K$6&gt;='Term Sheet'!$C$22,K120&lt;='Term Sheet'!$C$21),'Term Sheet'!$C$20,0)</f>
        <v>0.045</v>
      </c>
      <c r="M28" s="12">
        <f>'Term Sheet'!$C$18-IF(AND(L$6&gt;='Term Sheet'!$C$22,L120&lt;='Term Sheet'!$C$21),'Term Sheet'!$C$20,0)</f>
        <v>0.045</v>
      </c>
      <c r="N28" s="12">
        <f>'Term Sheet'!$C$18-IF(AND(M$6&gt;='Term Sheet'!$C$22,M120&lt;='Term Sheet'!$C$21),'Term Sheet'!$C$20,0)</f>
        <v>0.042499999999999996</v>
      </c>
      <c r="O28" s="12">
        <f>'Term Sheet'!$C$18-IF(AND(N$6&gt;='Term Sheet'!$C$22,N120&lt;='Term Sheet'!$C$21),'Term Sheet'!$C$20,0)</f>
        <v>0.042499999999999996</v>
      </c>
      <c r="P28" s="12">
        <f>'Term Sheet'!$C$18-IF(AND(O$6&gt;='Term Sheet'!$C$22,O120&lt;='Term Sheet'!$C$21),'Term Sheet'!$C$20,0)</f>
        <v>0.042499999999999996</v>
      </c>
      <c r="Q28" s="12">
        <f>'Term Sheet'!$C$18-IF(AND(P$6&gt;='Term Sheet'!$C$22,P120&lt;='Term Sheet'!$C$21),'Term Sheet'!$C$20,0)</f>
        <v>0.042499999999999996</v>
      </c>
      <c r="S28" s="12"/>
      <c r="T28" s="12">
        <f>'Term Sheet'!$C$18-IF(AND(S$6&gt;='Term Sheet'!$C$22,S120&lt;='Term Sheet'!$C$21),'Term Sheet'!$C$20,0)</f>
        <v>0.045</v>
      </c>
      <c r="U28" s="12">
        <f>'Term Sheet'!$C$18-IF(AND(T$6&gt;='Term Sheet'!$C$22,T120&lt;='Term Sheet'!$C$21),'Term Sheet'!$C$20,0)</f>
        <v>0.045</v>
      </c>
      <c r="V28" s="12">
        <f>'Term Sheet'!$C$18-IF(AND(U$6&gt;='Term Sheet'!$C$22,U120&lt;='Term Sheet'!$C$21),'Term Sheet'!$C$20,0)</f>
        <v>0.045</v>
      </c>
      <c r="W28" s="12">
        <f>'Term Sheet'!$C$18-IF(AND(V$6&gt;='Term Sheet'!$C$22,V120&lt;='Term Sheet'!$C$21),'Term Sheet'!$C$20,0)</f>
        <v>0.042499999999999996</v>
      </c>
      <c r="X28" s="12">
        <f>'Term Sheet'!$C$18-IF(AND(W$6&gt;='Term Sheet'!$C$22,W120&lt;='Term Sheet'!$C$21),'Term Sheet'!$C$20,0)</f>
        <v>0.042499999999999996</v>
      </c>
      <c r="Y28" s="12">
        <f>'Term Sheet'!$C$18-IF(AND(X$6&gt;='Term Sheet'!$C$22,X120&lt;='Term Sheet'!$C$21),'Term Sheet'!$C$20,0)</f>
        <v>0.042499999999999996</v>
      </c>
    </row>
    <row r="29">
      <c r="B29" t="s" s="9">
        <v>236</v>
      </c>
      <c r="C29" s="24"/>
      <c r="D29" s="24">
        <f>Scenarios!$C$16*MAX(0,MIN(D$6,'Term Sheet'!$C$27)-MAX('Term Sheet'!$C$7,EDATE(D$6,-12)))/(D$6-MAX('Term Sheet'!$C$7,EDATE(D$6,-12)))</f>
        <v>1</v>
      </c>
      <c r="E29" s="24">
        <f>Scenarios!$C$16*MAX(0,MIN(E$6,'Term Sheet'!$C$27)-MAX('Term Sheet'!$C$7,EDATE(E$6,-12)))/(E$6-MAX('Term Sheet'!$C$7,EDATE(E$6,-12)))</f>
        <v>1</v>
      </c>
      <c r="F29" s="24">
        <f>Scenarios!$C$16*MAX(0,MIN(F$6,'Term Sheet'!$C$27)-MAX('Term Sheet'!$C$7,EDATE(F$6,-12)))/(F$6-MAX('Term Sheet'!$C$7,EDATE(F$6,-12)))</f>
        <v>0.48360655737704916</v>
      </c>
      <c r="G29" s="24">
        <f>Scenarios!$C$16*MAX(0,MIN(G$6,'Term Sheet'!$C$27)-MAX('Term Sheet'!$C$7,EDATE(G$6,-12)))/(G$6-MAX('Term Sheet'!$C$7,EDATE(G$6,-12)))</f>
        <v>0</v>
      </c>
      <c r="H29" s="24">
        <f>Scenarios!$C$16*MAX(0,MIN(H$6,'Term Sheet'!$C$27)-MAX('Term Sheet'!$C$7,EDATE(H$6,-12)))/(H$6-MAX('Term Sheet'!$C$7,EDATE(H$6,-12)))</f>
        <v>0</v>
      </c>
      <c r="I29" s="24">
        <f>Scenarios!$C$16*MAX(0,MIN(I$6,'Term Sheet'!$C$27)-MAX('Term Sheet'!$C$7,EDATE(I$6,-12)))/(I$6-MAX('Term Sheet'!$C$7,EDATE(I$6,-12)))</f>
        <v>0</v>
      </c>
      <c r="J29" s="24"/>
      <c r="K29" s="24"/>
      <c r="L29" s="24">
        <f>Scenarios!$C$16*MAX(0,MIN(L$6,'Term Sheet'!$C$27)-MAX('Term Sheet'!$C$7,EDATE(L$6,-12)))/(L$6-MAX('Term Sheet'!$C$7,EDATE(L$6,-12)))</f>
        <v>1</v>
      </c>
      <c r="M29" s="24">
        <f>Scenarios!$C$16*MAX(0,MIN(M$6,'Term Sheet'!$C$27)-MAX('Term Sheet'!$C$7,EDATE(M$6,-12)))/(M$6-MAX('Term Sheet'!$C$7,EDATE(M$6,-12)))</f>
        <v>1</v>
      </c>
      <c r="N29" s="24">
        <f>Scenarios!$C$16*MAX(0,MIN(N$6,'Term Sheet'!$C$27)-MAX('Term Sheet'!$C$7,EDATE(N$6,-12)))/(N$6-MAX('Term Sheet'!$C$7,EDATE(N$6,-12)))</f>
        <v>0.48360655737704916</v>
      </c>
      <c r="O29" s="24">
        <f>Scenarios!$C$16*MAX(0,MIN(O$6,'Term Sheet'!$C$27)-MAX('Term Sheet'!$C$7,EDATE(O$6,-12)))/(O$6-MAX('Term Sheet'!$C$7,EDATE(O$6,-12)))</f>
        <v>0</v>
      </c>
      <c r="P29" s="24">
        <f>Scenarios!$C$16*MAX(0,MIN(P$6,'Term Sheet'!$C$27)-MAX('Term Sheet'!$C$7,EDATE(P$6,-12)))/(P$6-MAX('Term Sheet'!$C$7,EDATE(P$6,-12)))</f>
        <v>0</v>
      </c>
      <c r="Q29" s="24">
        <f>Scenarios!$C$16*MAX(0,MIN(Q$6,'Term Sheet'!$C$27)-MAX('Term Sheet'!$C$7,EDATE(Q$6,-12)))/(Q$6-MAX('Term Sheet'!$C$7,EDATE(Q$6,-12)))</f>
        <v>0</v>
      </c>
      <c r="S29" s="24"/>
      <c r="T29" s="24">
        <f>Scenarios!$C$16*MAX(0,MIN(T$6,'Term Sheet'!$C$27)-MAX('Term Sheet'!$C$7,EDATE(T$6,-12)))/(T$6-MAX('Term Sheet'!$C$7,EDATE(T$6,-12)))</f>
        <v>1</v>
      </c>
      <c r="U29" s="24">
        <f>Scenarios!$C$16*MAX(0,MIN(U$6,'Term Sheet'!$C$27)-MAX('Term Sheet'!$C$7,EDATE(U$6,-12)))/(U$6-MAX('Term Sheet'!$C$7,EDATE(U$6,-12)))</f>
        <v>1</v>
      </c>
      <c r="V29" s="24">
        <f>Scenarios!$C$16*MAX(0,MIN(V$6,'Term Sheet'!$C$27)-MAX('Term Sheet'!$C$7,EDATE(V$6,-12)))/(V$6-MAX('Term Sheet'!$C$7,EDATE(V$6,-12)))</f>
        <v>0.48360655737704916</v>
      </c>
      <c r="W29" s="24">
        <f>Scenarios!$C$16*MAX(0,MIN(W$6,'Term Sheet'!$C$27)-MAX('Term Sheet'!$C$7,EDATE(W$6,-12)))/(W$6-MAX('Term Sheet'!$C$7,EDATE(W$6,-12)))</f>
        <v>0</v>
      </c>
      <c r="X29" s="24">
        <f>Scenarios!$C$16*MAX(0,MIN(X$6,'Term Sheet'!$C$27)-MAX('Term Sheet'!$C$7,EDATE(X$6,-12)))/(X$6-MAX('Term Sheet'!$C$7,EDATE(X$6,-12)))</f>
        <v>0</v>
      </c>
      <c r="Y29" s="24">
        <f>Scenarios!$C$16*MAX(0,MIN(Y$6,'Term Sheet'!$C$27)-MAX('Term Sheet'!$C$7,EDATE(Y$6,-12)))/(Y$6-MAX('Term Sheet'!$C$7,EDATE(Y$6,-12)))</f>
        <v>0</v>
      </c>
    </row>
    <row r="30">
      <c r="B30" t="s" s="9">
        <v>237</v>
      </c>
      <c r="C30" s="12"/>
      <c r="D30" s="12">
        <f>D27+D28*(1-'Term Sheet'!$C$24*D29)</f>
        <v>0.060782924605291</v>
      </c>
      <c r="E30" s="12">
        <f>E27+E28*(1-'Term Sheet'!$C$24*E29)</f>
        <v>0.06755393053616437</v>
      </c>
      <c r="F30" s="12">
        <f>F27+F28*(1-'Term Sheet'!$C$24*F29)</f>
        <v>0.07820776050601091</v>
      </c>
      <c r="G30" s="12">
        <f>G27+G28*(1-'Term Sheet'!$C$24*G29)</f>
        <v>0.08737534865726027</v>
      </c>
      <c r="H30" s="12">
        <f>H27+H28*(1-'Term Sheet'!$C$24*H29)</f>
        <v>0.08667201292136986</v>
      </c>
      <c r="I30" s="12">
        <f>I27+I28*(1-'Term Sheet'!$C$24*I29)</f>
        <v>0.08657827134410959</v>
      </c>
      <c r="J30" s="12"/>
      <c r="K30" s="12"/>
      <c r="L30" s="12">
        <f>L27+L28*(1-'Term Sheet'!$C$24*L29)</f>
        <v>0.060782924605291</v>
      </c>
      <c r="M30" s="12">
        <f>M27+M28*(1-'Term Sheet'!$C$24*M29)</f>
        <v>0.06755393053616437</v>
      </c>
      <c r="N30" s="12">
        <f>N27+N28*(1-'Term Sheet'!$C$24*N29)</f>
        <v>0.07820776050601091</v>
      </c>
      <c r="O30" s="12">
        <f>O27+O28*(1-'Term Sheet'!$C$24*O29)</f>
        <v>0.08737534865726027</v>
      </c>
      <c r="P30" s="12">
        <f>P27+P28*(1-'Term Sheet'!$C$24*P29)</f>
        <v>0.08667201292136986</v>
      </c>
      <c r="Q30" s="12">
        <f>Q27+Q28*(1-'Term Sheet'!$C$24*Q29)</f>
        <v>0.08657827134410959</v>
      </c>
      <c r="S30" s="12"/>
      <c r="T30" s="12">
        <f>T27+T28*(1-'Term Sheet'!$C$24*T29)</f>
        <v>0.060782924605291</v>
      </c>
      <c r="U30" s="12">
        <f>U27+U28*(1-'Term Sheet'!$C$24*U29)</f>
        <v>0.06755393053616437</v>
      </c>
      <c r="V30" s="12">
        <f>V27+V28*(1-'Term Sheet'!$C$24*V29)</f>
        <v>0.08010325230928961</v>
      </c>
      <c r="W30" s="12">
        <f>W27+W28*(1-'Term Sheet'!$C$24*W29)</f>
        <v>0.08737534865726027</v>
      </c>
      <c r="X30" s="12">
        <f>X27+X28*(1-'Term Sheet'!$C$24*X29)</f>
        <v>0.08667201292136986</v>
      </c>
      <c r="Y30" s="12">
        <f>Y27+Y28*(1-'Term Sheet'!$C$24*Y29)</f>
        <v>0.08657827134410959</v>
      </c>
    </row>
    <row r="31">
      <c r="B31" t="s" s="9">
        <v>238</v>
      </c>
      <c r="C31" s="12"/>
      <c r="D31" s="12">
        <f>('Term Sheet'!$C$24*D28+'Term Sheet'!$C$25)*D29</f>
        <v>0.024999999999999998</v>
      </c>
      <c r="E31" s="12">
        <f>('Term Sheet'!$C$24*E28+'Term Sheet'!$C$25)*E29</f>
        <v>0.024999999999999998</v>
      </c>
      <c r="F31" s="12">
        <f>('Term Sheet'!$C$24*F28+'Term Sheet'!$C$25)*F29</f>
        <v>0.011485655737704915</v>
      </c>
      <c r="G31" s="12">
        <f>('Term Sheet'!$C$24*G28+'Term Sheet'!$C$25)*G29</f>
        <v>0</v>
      </c>
      <c r="H31" s="12">
        <f>('Term Sheet'!$C$24*H28+'Term Sheet'!$C$25)*H29</f>
        <v>0</v>
      </c>
      <c r="I31" s="12">
        <f>('Term Sheet'!$C$24*I28+'Term Sheet'!$C$25)*I29</f>
        <v>0</v>
      </c>
      <c r="J31" s="12"/>
      <c r="K31" s="12"/>
      <c r="L31" s="12">
        <f>('Term Sheet'!$C$24*L28+'Term Sheet'!$C$25)*L29</f>
        <v>0.024999999999999998</v>
      </c>
      <c r="M31" s="12">
        <f>('Term Sheet'!$C$24*M28+'Term Sheet'!$C$25)*M29</f>
        <v>0.024999999999999998</v>
      </c>
      <c r="N31" s="12">
        <f>('Term Sheet'!$C$24*N28+'Term Sheet'!$C$25)*N29</f>
        <v>0.011485655737704915</v>
      </c>
      <c r="O31" s="12">
        <f>('Term Sheet'!$C$24*O28+'Term Sheet'!$C$25)*O29</f>
        <v>0</v>
      </c>
      <c r="P31" s="12">
        <f>('Term Sheet'!$C$24*P28+'Term Sheet'!$C$25)*P29</f>
        <v>0</v>
      </c>
      <c r="Q31" s="12">
        <f>('Term Sheet'!$C$24*Q28+'Term Sheet'!$C$25)*Q29</f>
        <v>0</v>
      </c>
      <c r="S31" s="12"/>
      <c r="T31" s="12">
        <f>('Term Sheet'!$C$24*T28+'Term Sheet'!$C$25)*T29</f>
        <v>0.024999999999999998</v>
      </c>
      <c r="U31" s="12">
        <f>('Term Sheet'!$C$24*U28+'Term Sheet'!$C$25)*U29</f>
        <v>0.024999999999999998</v>
      </c>
      <c r="V31" s="12">
        <f>('Term Sheet'!$C$24*V28+'Term Sheet'!$C$25)*V29</f>
        <v>0.012090163934426228</v>
      </c>
      <c r="W31" s="12">
        <f>('Term Sheet'!$C$24*W28+'Term Sheet'!$C$25)*W29</f>
        <v>0</v>
      </c>
      <c r="X31" s="12">
        <f>('Term Sheet'!$C$24*X28+'Term Sheet'!$C$25)*X29</f>
        <v>0</v>
      </c>
      <c r="Y31" s="12">
        <f>('Term Sheet'!$C$24*Y28+'Term Sheet'!$C$25)*Y29</f>
        <v>0</v>
      </c>
    </row>
    <row r="32">
      <c r="B32" t="s" s="9">
        <v>239</v>
      </c>
      <c r="C32" s="12"/>
      <c r="D32" s="12">
        <f>D27+D28</f>
        <v>0.08328292460529099</v>
      </c>
      <c r="E32" s="12">
        <f>E27+E28</f>
        <v>0.09005393053616438</v>
      </c>
      <c r="F32" s="12">
        <f>F27+F28</f>
        <v>0.08848439985027322</v>
      </c>
      <c r="G32" s="12">
        <f>G27+G28</f>
        <v>0.08737534865726027</v>
      </c>
      <c r="H32" s="12">
        <f>H27+H28</f>
        <v>0.08667201292136986</v>
      </c>
      <c r="I32" s="12">
        <f>I27+I28</f>
        <v>0.08657827134410959</v>
      </c>
      <c r="J32" s="12"/>
      <c r="K32" s="12"/>
      <c r="L32" s="12">
        <f>L27+L28</f>
        <v>0.08328292460529099</v>
      </c>
      <c r="M32" s="12">
        <f>M27+M28</f>
        <v>0.09005393053616438</v>
      </c>
      <c r="N32" s="12">
        <f>N27+N28</f>
        <v>0.08848439985027322</v>
      </c>
      <c r="O32" s="12">
        <f>O27+O28</f>
        <v>0.08737534865726027</v>
      </c>
      <c r="P32" s="12">
        <f>P27+P28</f>
        <v>0.08667201292136986</v>
      </c>
      <c r="Q32" s="12">
        <f>Q27+Q28</f>
        <v>0.08657827134410959</v>
      </c>
      <c r="S32" s="12"/>
      <c r="T32" s="12">
        <f>T27+T28</f>
        <v>0.08328292460529099</v>
      </c>
      <c r="U32" s="12">
        <f>U27+U28</f>
        <v>0.09005393053616438</v>
      </c>
      <c r="V32" s="12">
        <f>V27+V28</f>
        <v>0.09098439985027322</v>
      </c>
      <c r="W32" s="12">
        <f>W27+W28</f>
        <v>0.08737534865726027</v>
      </c>
      <c r="X32" s="12">
        <f>X27+X28</f>
        <v>0.08667201292136986</v>
      </c>
      <c r="Y32" s="12">
        <f>Y27+Y28</f>
        <v>0.08657827134410959</v>
      </c>
    </row>
    <row r="33">
      <c r="B33" t="s" s="9">
        <v>240</v>
      </c>
      <c r="C33" s="31"/>
      <c r="D33" s="31">
        <f>'Term Sheet'!$C$71-'Term Sheet'!$C$72*(C120&lt;='Term Sheet'!$C$73)-'Term Sheet'!$C$72*(C120&lt;='Term Sheet'!$C$74)</f>
        <v>0.005</v>
      </c>
      <c r="E33" s="31">
        <f>'Term Sheet'!$C$71-'Term Sheet'!$C$72*(D120&lt;='Term Sheet'!$C$73)-'Term Sheet'!$C$72*(D120&lt;='Term Sheet'!$C$74)</f>
        <v>0.005</v>
      </c>
      <c r="F33" s="31">
        <f>'Term Sheet'!$C$71-'Term Sheet'!$C$72*(E120&lt;='Term Sheet'!$C$73)-'Term Sheet'!$C$72*(E120&lt;='Term Sheet'!$C$74)</f>
        <v>0.0024999999999999996</v>
      </c>
      <c r="G33" s="31">
        <f>'Term Sheet'!$C$71-'Term Sheet'!$C$72*(F120&lt;='Term Sheet'!$C$73)-'Term Sheet'!$C$72*(F120&lt;='Term Sheet'!$C$74)</f>
        <v>0.0024999999999999996</v>
      </c>
      <c r="H33" s="31">
        <f>'Term Sheet'!$C$71-'Term Sheet'!$C$72*(G120&lt;='Term Sheet'!$C$73)-'Term Sheet'!$C$72*(G120&lt;='Term Sheet'!$C$74)</f>
        <v>0.0024999999999999996</v>
      </c>
      <c r="I33" s="31">
        <f>'Term Sheet'!$C$71-'Term Sheet'!$C$72*(H120&lt;='Term Sheet'!$C$73)-'Term Sheet'!$C$72*(H120&lt;='Term Sheet'!$C$74)</f>
        <v>0.0024999999999999996</v>
      </c>
      <c r="J33" s="31"/>
      <c r="K33" s="31"/>
      <c r="L33" s="31">
        <f>'Term Sheet'!$C$71-'Term Sheet'!$C$72*(K120&lt;='Term Sheet'!$C$73)-'Term Sheet'!$C$72*(K120&lt;='Term Sheet'!$C$74)</f>
        <v>0.005</v>
      </c>
      <c r="M33" s="31">
        <f>'Term Sheet'!$C$71-'Term Sheet'!$C$72*(L120&lt;='Term Sheet'!$C$73)-'Term Sheet'!$C$72*(L120&lt;='Term Sheet'!$C$74)</f>
        <v>0.005</v>
      </c>
      <c r="N33" s="31">
        <f>'Term Sheet'!$C$71-'Term Sheet'!$C$72*(M120&lt;='Term Sheet'!$C$73)-'Term Sheet'!$C$72*(M120&lt;='Term Sheet'!$C$74)</f>
        <v>0.0024999999999999996</v>
      </c>
      <c r="O33" s="31">
        <f>'Term Sheet'!$C$71-'Term Sheet'!$C$72*(N120&lt;='Term Sheet'!$C$73)-'Term Sheet'!$C$72*(N120&lt;='Term Sheet'!$C$74)</f>
        <v>0.0024999999999999996</v>
      </c>
      <c r="P33" s="31">
        <f>'Term Sheet'!$C$71-'Term Sheet'!$C$72*(O120&lt;='Term Sheet'!$C$73)-'Term Sheet'!$C$72*(O120&lt;='Term Sheet'!$C$74)</f>
        <v>0.0024999999999999996</v>
      </c>
      <c r="Q33" s="31">
        <f>'Term Sheet'!$C$71-'Term Sheet'!$C$72*(P120&lt;='Term Sheet'!$C$73)-'Term Sheet'!$C$72*(P120&lt;='Term Sheet'!$C$74)</f>
        <v>0.0024999999999999996</v>
      </c>
      <c r="S33" s="31"/>
      <c r="T33" s="31">
        <f>'Term Sheet'!$C$71-'Term Sheet'!$C$72*(S120&lt;='Term Sheet'!$C$73)-'Term Sheet'!$C$72*(S120&lt;='Term Sheet'!$C$74)</f>
        <v>0.005</v>
      </c>
      <c r="U33" s="31">
        <f>'Term Sheet'!$C$71-'Term Sheet'!$C$72*(T120&lt;='Term Sheet'!$C$73)-'Term Sheet'!$C$72*(T120&lt;='Term Sheet'!$C$74)</f>
        <v>0.005</v>
      </c>
      <c r="V33" s="31">
        <f>'Term Sheet'!$C$71-'Term Sheet'!$C$72*(U120&lt;='Term Sheet'!$C$73)-'Term Sheet'!$C$72*(U120&lt;='Term Sheet'!$C$74)</f>
        <v>0.005</v>
      </c>
      <c r="W33" s="31">
        <f>'Term Sheet'!$C$71-'Term Sheet'!$C$72*(V120&lt;='Term Sheet'!$C$73)-'Term Sheet'!$C$72*(V120&lt;='Term Sheet'!$C$74)</f>
        <v>0.0024999999999999996</v>
      </c>
      <c r="X33" s="31">
        <f>'Term Sheet'!$C$71-'Term Sheet'!$C$72*(W120&lt;='Term Sheet'!$C$73)-'Term Sheet'!$C$72*(W120&lt;='Term Sheet'!$C$74)</f>
        <v>0.0024999999999999996</v>
      </c>
      <c r="Y33" s="31">
        <f>'Term Sheet'!$C$71-'Term Sheet'!$C$72*(X120&lt;='Term Sheet'!$C$73)-'Term Sheet'!$C$72*(X120&lt;='Term Sheet'!$C$74)</f>
        <v>0.0024999999999999996</v>
      </c>
    </row>
    <row r="34">
      <c r="B34" t="s" s="9">
        <v>241</v>
      </c>
      <c r="C34" s="31"/>
      <c r="D34" s="31">
        <f>('Term Sheet'!$C$62*MAX(0,MIN(EDATE('Term Sheet'!$C$7,12),D$6)-MAX('Term Sheet'!$C$7+'Term Sheet'!$C$61,MAX('Term Sheet'!$C$7,EDATE(D$6,-12))))+'Term Sheet'!$C$63*MAX(0,MIN('Term Sheet'!$C$57,D$6)-MAX(EDATE('Term Sheet'!$C$7,12),MAX('Term Sheet'!$C$7,EDATE(D$6,-12)))))/(D$6-MAX('Term Sheet'!$C$7,EDATE(D$6,-12)))</f>
        <v>0.002619047619047619</v>
      </c>
      <c r="E34" s="31">
        <f>('Term Sheet'!$C$62*MAX(0,MIN(EDATE('Term Sheet'!$C$7,12),E$6)-MAX('Term Sheet'!$C$7+'Term Sheet'!$C$61,MAX('Term Sheet'!$C$7,EDATE(E$6,-12))))+'Term Sheet'!$C$63*MAX(0,MIN('Term Sheet'!$C$57,E$6)-MAX(EDATE('Term Sheet'!$C$7,12),MAX('Term Sheet'!$C$7,EDATE(E$6,-12)))))/(E$6-MAX('Term Sheet'!$C$7,EDATE(E$6,-12)))</f>
        <v>0.007589041095890411</v>
      </c>
      <c r="F34" s="31">
        <f>('Term Sheet'!$C$62*MAX(0,MIN(EDATE('Term Sheet'!$C$7,12),F$6)-MAX('Term Sheet'!$C$7+'Term Sheet'!$C$61,MAX('Term Sheet'!$C$7,EDATE(F$6,-12))))+'Term Sheet'!$C$63*MAX(0,MIN('Term Sheet'!$C$57,F$6)-MAX(EDATE('Term Sheet'!$C$7,12),MAX('Term Sheet'!$C$7,EDATE(F$6,-12)))))/(F$6-MAX('Term Sheet'!$C$7,EDATE(F$6,-12)))</f>
        <v>0.009836065573770493</v>
      </c>
      <c r="G34" s="31">
        <f>('Term Sheet'!$C$62*MAX(0,MIN(EDATE('Term Sheet'!$C$7,12),G$6)-MAX('Term Sheet'!$C$7+'Term Sheet'!$C$61,MAX('Term Sheet'!$C$7,EDATE(G$6,-12))))+'Term Sheet'!$C$63*MAX(0,MIN('Term Sheet'!$C$57,G$6)-MAX(EDATE('Term Sheet'!$C$7,12),MAX('Term Sheet'!$C$7,EDATE(G$6,-12)))))/(G$6-MAX('Term Sheet'!$C$7,EDATE(G$6,-12)))</f>
        <v>0</v>
      </c>
      <c r="H34" s="31">
        <f>('Term Sheet'!$C$62*MAX(0,MIN(EDATE('Term Sheet'!$C$7,12),H$6)-MAX('Term Sheet'!$C$7+'Term Sheet'!$C$61,MAX('Term Sheet'!$C$7,EDATE(H$6,-12))))+'Term Sheet'!$C$63*MAX(0,MIN('Term Sheet'!$C$57,H$6)-MAX(EDATE('Term Sheet'!$C$7,12),MAX('Term Sheet'!$C$7,EDATE(H$6,-12)))))/(H$6-MAX('Term Sheet'!$C$7,EDATE(H$6,-12)))</f>
        <v>0</v>
      </c>
      <c r="I34" s="31">
        <f>('Term Sheet'!$C$62*MAX(0,MIN(EDATE('Term Sheet'!$C$7,12),I$6)-MAX('Term Sheet'!$C$7+'Term Sheet'!$C$61,MAX('Term Sheet'!$C$7,EDATE(I$6,-12))))+'Term Sheet'!$C$63*MAX(0,MIN('Term Sheet'!$C$57,I$6)-MAX(EDATE('Term Sheet'!$C$7,12),MAX('Term Sheet'!$C$7,EDATE(I$6,-12)))))/(I$6-MAX('Term Sheet'!$C$7,EDATE(I$6,-12)))</f>
        <v>0</v>
      </c>
      <c r="J34" s="31"/>
      <c r="K34" s="31"/>
      <c r="L34" s="31">
        <f>('Term Sheet'!$C$62*MAX(0,MIN(EDATE('Term Sheet'!$C$7,12),L$6)-MAX('Term Sheet'!$C$7+'Term Sheet'!$C$61,MAX('Term Sheet'!$C$7,EDATE(L$6,-12))))+'Term Sheet'!$C$63*MAX(0,MIN('Term Sheet'!$C$57,L$6)-MAX(EDATE('Term Sheet'!$C$7,12),MAX('Term Sheet'!$C$7,EDATE(L$6,-12)))))/(L$6-MAX('Term Sheet'!$C$7,EDATE(L$6,-12)))</f>
        <v>0.002619047619047619</v>
      </c>
      <c r="M34" s="31">
        <f>('Term Sheet'!$C$62*MAX(0,MIN(EDATE('Term Sheet'!$C$7,12),M$6)-MAX('Term Sheet'!$C$7+'Term Sheet'!$C$61,MAX('Term Sheet'!$C$7,EDATE(M$6,-12))))+'Term Sheet'!$C$63*MAX(0,MIN('Term Sheet'!$C$57,M$6)-MAX(EDATE('Term Sheet'!$C$7,12),MAX('Term Sheet'!$C$7,EDATE(M$6,-12)))))/(M$6-MAX('Term Sheet'!$C$7,EDATE(M$6,-12)))</f>
        <v>0.007589041095890411</v>
      </c>
      <c r="N34" s="31">
        <f>('Term Sheet'!$C$62*MAX(0,MIN(EDATE('Term Sheet'!$C$7,12),N$6)-MAX('Term Sheet'!$C$7+'Term Sheet'!$C$61,MAX('Term Sheet'!$C$7,EDATE(N$6,-12))))+'Term Sheet'!$C$63*MAX(0,MIN('Term Sheet'!$C$57,N$6)-MAX(EDATE('Term Sheet'!$C$7,12),MAX('Term Sheet'!$C$7,EDATE(N$6,-12)))))/(N$6-MAX('Term Sheet'!$C$7,EDATE(N$6,-12)))</f>
        <v>0.009836065573770493</v>
      </c>
      <c r="O34" s="31">
        <f>('Term Sheet'!$C$62*MAX(0,MIN(EDATE('Term Sheet'!$C$7,12),O$6)-MAX('Term Sheet'!$C$7+'Term Sheet'!$C$61,MAX('Term Sheet'!$C$7,EDATE(O$6,-12))))+'Term Sheet'!$C$63*MAX(0,MIN('Term Sheet'!$C$57,O$6)-MAX(EDATE('Term Sheet'!$C$7,12),MAX('Term Sheet'!$C$7,EDATE(O$6,-12)))))/(O$6-MAX('Term Sheet'!$C$7,EDATE(O$6,-12)))</f>
        <v>0</v>
      </c>
      <c r="P34" s="31">
        <f>('Term Sheet'!$C$62*MAX(0,MIN(EDATE('Term Sheet'!$C$7,12),P$6)-MAX('Term Sheet'!$C$7+'Term Sheet'!$C$61,MAX('Term Sheet'!$C$7,EDATE(P$6,-12))))+'Term Sheet'!$C$63*MAX(0,MIN('Term Sheet'!$C$57,P$6)-MAX(EDATE('Term Sheet'!$C$7,12),MAX('Term Sheet'!$C$7,EDATE(P$6,-12)))))/(P$6-MAX('Term Sheet'!$C$7,EDATE(P$6,-12)))</f>
        <v>0</v>
      </c>
      <c r="Q34" s="31">
        <f>('Term Sheet'!$C$62*MAX(0,MIN(EDATE('Term Sheet'!$C$7,12),Q$6)-MAX('Term Sheet'!$C$7+'Term Sheet'!$C$61,MAX('Term Sheet'!$C$7,EDATE(Q$6,-12))))+'Term Sheet'!$C$63*MAX(0,MIN('Term Sheet'!$C$57,Q$6)-MAX(EDATE('Term Sheet'!$C$7,12),MAX('Term Sheet'!$C$7,EDATE(Q$6,-12)))))/(Q$6-MAX('Term Sheet'!$C$7,EDATE(Q$6,-12)))</f>
        <v>0</v>
      </c>
      <c r="S34" s="31"/>
      <c r="T34" s="31">
        <f>('Term Sheet'!$C$62*MAX(0,MIN(EDATE('Term Sheet'!$C$7,12),T$6)-MAX('Term Sheet'!$C$7+'Term Sheet'!$C$61,MAX('Term Sheet'!$C$7,EDATE(T$6,-12))))+'Term Sheet'!$C$63*MAX(0,MIN('Term Sheet'!$C$57,T$6)-MAX(EDATE('Term Sheet'!$C$7,12),MAX('Term Sheet'!$C$7,EDATE(T$6,-12)))))/(T$6-MAX('Term Sheet'!$C$7,EDATE(T$6,-12)))</f>
        <v>0.002619047619047619</v>
      </c>
      <c r="U34" s="31">
        <f>('Term Sheet'!$C$62*MAX(0,MIN(EDATE('Term Sheet'!$C$7,12),U$6)-MAX('Term Sheet'!$C$7+'Term Sheet'!$C$61,MAX('Term Sheet'!$C$7,EDATE(U$6,-12))))+'Term Sheet'!$C$63*MAX(0,MIN('Term Sheet'!$C$57,U$6)-MAX(EDATE('Term Sheet'!$C$7,12),MAX('Term Sheet'!$C$7,EDATE(U$6,-12)))))/(U$6-MAX('Term Sheet'!$C$7,EDATE(U$6,-12)))</f>
        <v>0.007589041095890411</v>
      </c>
      <c r="V34" s="31">
        <f>('Term Sheet'!$C$62*MAX(0,MIN(EDATE('Term Sheet'!$C$7,12),V$6)-MAX('Term Sheet'!$C$7+'Term Sheet'!$C$61,MAX('Term Sheet'!$C$7,EDATE(V$6,-12))))+'Term Sheet'!$C$63*MAX(0,MIN('Term Sheet'!$C$57,V$6)-MAX(EDATE('Term Sheet'!$C$7,12),MAX('Term Sheet'!$C$7,EDATE(V$6,-12)))))/(V$6-MAX('Term Sheet'!$C$7,EDATE(V$6,-12)))</f>
        <v>0.009836065573770493</v>
      </c>
      <c r="W34" s="31">
        <f>('Term Sheet'!$C$62*MAX(0,MIN(EDATE('Term Sheet'!$C$7,12),W$6)-MAX('Term Sheet'!$C$7+'Term Sheet'!$C$61,MAX('Term Sheet'!$C$7,EDATE(W$6,-12))))+'Term Sheet'!$C$63*MAX(0,MIN('Term Sheet'!$C$57,W$6)-MAX(EDATE('Term Sheet'!$C$7,12),MAX('Term Sheet'!$C$7,EDATE(W$6,-12)))))/(W$6-MAX('Term Sheet'!$C$7,EDATE(W$6,-12)))</f>
        <v>0</v>
      </c>
      <c r="X34" s="31">
        <f>('Term Sheet'!$C$62*MAX(0,MIN(EDATE('Term Sheet'!$C$7,12),X$6)-MAX('Term Sheet'!$C$7+'Term Sheet'!$C$61,MAX('Term Sheet'!$C$7,EDATE(X$6,-12))))+'Term Sheet'!$C$63*MAX(0,MIN('Term Sheet'!$C$57,X$6)-MAX(EDATE('Term Sheet'!$C$7,12),MAX('Term Sheet'!$C$7,EDATE(X$6,-12)))))/(X$6-MAX('Term Sheet'!$C$7,EDATE(X$6,-12)))</f>
        <v>0</v>
      </c>
      <c r="Y34" s="31">
        <f>('Term Sheet'!$C$62*MAX(0,MIN(EDATE('Term Sheet'!$C$7,12),Y$6)-MAX('Term Sheet'!$C$7+'Term Sheet'!$C$61,MAX('Term Sheet'!$C$7,EDATE(Y$6,-12))))+'Term Sheet'!$C$63*MAX(0,MIN('Term Sheet'!$C$57,Y$6)-MAX(EDATE('Term Sheet'!$C$7,12),MAX('Term Sheet'!$C$7,EDATE(Y$6,-12)))))/(Y$6-MAX('Term Sheet'!$C$7,EDATE(Y$6,-12)))</f>
        <v>0</v>
      </c>
    </row>
    <row r="35">
      <c r="B35" t="s" s="9">
        <v>242</v>
      </c>
      <c r="C35" s="12"/>
      <c r="D35" s="12">
        <f>D26</f>
        <v>0.038282924605291</v>
      </c>
      <c r="E35" s="12">
        <f>E26</f>
        <v>0.04505393053616438</v>
      </c>
      <c r="F35" s="12">
        <f>F26</f>
        <v>0.04598439985027322</v>
      </c>
      <c r="G35" s="12">
        <f>G26</f>
        <v>0.044875348657260276</v>
      </c>
      <c r="H35" s="12">
        <f>H26</f>
        <v>0.044172012921369866</v>
      </c>
      <c r="I35" s="12">
        <f>I26</f>
        <v>0.04407827134410959</v>
      </c>
      <c r="J35" s="12"/>
      <c r="K35" s="12"/>
      <c r="L35" s="12">
        <f>L26</f>
        <v>0.038282924605291</v>
      </c>
      <c r="M35" s="12">
        <f>M26</f>
        <v>0.04505393053616438</v>
      </c>
      <c r="N35" s="12">
        <f>N26</f>
        <v>0.04598439985027322</v>
      </c>
      <c r="O35" s="12">
        <f>O26</f>
        <v>0.044875348657260276</v>
      </c>
      <c r="P35" s="12">
        <f>P26</f>
        <v>0.044172012921369866</v>
      </c>
      <c r="Q35" s="12">
        <f>Q26</f>
        <v>0.04407827134410959</v>
      </c>
      <c r="S35" s="12"/>
      <c r="T35" s="12">
        <f>T26</f>
        <v>0.038282924605291</v>
      </c>
      <c r="U35" s="12">
        <f>U26</f>
        <v>0.04505393053616438</v>
      </c>
      <c r="V35" s="12">
        <f>V26</f>
        <v>0.04598439985027322</v>
      </c>
      <c r="W35" s="12">
        <f>W26</f>
        <v>0.044875348657260276</v>
      </c>
      <c r="X35" s="12">
        <f>X26</f>
        <v>0.044172012921369866</v>
      </c>
      <c r="Y35" s="12">
        <f>Y26</f>
        <v>0.04407827134410959</v>
      </c>
    </row>
    <row r="36">
      <c r="S36"/>
      <c r="T36"/>
      <c r="U36"/>
      <c r="V36"/>
      <c r="W36"/>
      <c r="X36"/>
      <c r="Y36"/>
    </row>
    <row r="37">
      <c r="B37" t="s" s="34">
        <v>243</v>
      </c>
      <c r="C37" s="34"/>
      <c r="D37" s="34"/>
      <c r="E37" s="34"/>
      <c r="F37" s="34"/>
      <c r="G37" s="34"/>
      <c r="H37" s="34"/>
      <c r="I37" s="34"/>
      <c r="J37" s="34"/>
      <c r="K37" s="34"/>
      <c r="L37" s="34"/>
      <c r="M37" s="34"/>
      <c r="N37" s="34"/>
      <c r="O37" s="34"/>
      <c r="P37" s="34"/>
      <c r="Q37" s="34"/>
      <c r="R37" s="34"/>
      <c r="S37" s="34"/>
      <c r="T37" s="34"/>
      <c r="U37" s="34"/>
      <c r="V37" s="34"/>
      <c r="W37" s="34"/>
      <c r="X37" s="34"/>
      <c r="Y37" s="34"/>
    </row>
    <row r="38">
      <c r="B38" t="s" s="9">
        <v>244</v>
      </c>
      <c r="C38" s="10"/>
      <c r="D38" s="10">
        <f>D23</f>
        <v>89.17061440623087</v>
      </c>
      <c r="E38" s="10">
        <f>E23</f>
        <v>227.109547846625</v>
      </c>
      <c r="F38" s="10">
        <f>F23</f>
        <v>270.9251581580244</v>
      </c>
      <c r="G38" s="10">
        <f>G23</f>
        <v>318.2522605391023</v>
      </c>
      <c r="H38" s="10">
        <f>H23</f>
        <v>363.96906609455505</v>
      </c>
      <c r="I38" s="10">
        <f>I23</f>
        <v>412.6799229707839</v>
      </c>
      <c r="J38" s="10"/>
      <c r="K38" s="10"/>
      <c r="L38" s="10">
        <f>L23</f>
        <v>92.92994746702246</v>
      </c>
      <c r="M38" s="10">
        <f>M23</f>
        <v>260.0933813221918</v>
      </c>
      <c r="N38" s="10">
        <f>N23</f>
        <v>352.94337721241646</v>
      </c>
      <c r="O38" s="10">
        <f>O23</f>
        <v>460.59153708592345</v>
      </c>
      <c r="P38" s="10">
        <f>P23</f>
        <v>579.9847251517535</v>
      </c>
      <c r="Q38" s="10">
        <f>Q23</f>
        <v>702.0236251354706</v>
      </c>
      <c r="S38" s="10"/>
      <c r="T38" s="10">
        <f>T23</f>
        <v>78.7295061790618</v>
      </c>
      <c r="U38" s="10">
        <f>U23</f>
        <v>195.2149130000479</v>
      </c>
      <c r="V38" s="10">
        <f>V23</f>
        <v>224.89732151095015</v>
      </c>
      <c r="W38" s="10">
        <f>W23</f>
        <v>255.37548958422536</v>
      </c>
      <c r="X38" s="10">
        <f>X23</f>
        <v>282.0256719456487</v>
      </c>
      <c r="Y38" s="10">
        <f>Y23</f>
        <v>308.95613177382614</v>
      </c>
    </row>
    <row r="39">
      <c r="B39" t="s" s="9">
        <v>245</v>
      </c>
      <c r="C39" s="10"/>
      <c r="D39" s="10">
        <f>-D101</f>
        <v>-87.05266708154969</v>
      </c>
      <c r="E39" s="10">
        <f>-E101</f>
        <v>-191.05438753749908</v>
      </c>
      <c r="F39" s="10">
        <f>-F101</f>
        <v>-220.77962336453433</v>
      </c>
      <c r="G39" s="10">
        <f>-G101</f>
        <v>-236.3845456435771</v>
      </c>
      <c r="H39" s="10">
        <f>-H101</f>
        <v>-224.61186090868486</v>
      </c>
      <c r="I39" s="10">
        <f>-I101</f>
        <v>-209.24407088217347</v>
      </c>
      <c r="J39" s="10"/>
      <c r="K39" s="10"/>
      <c r="L39" s="10">
        <f>-L101</f>
        <v>-87.05266708154969</v>
      </c>
      <c r="M39" s="10">
        <f>-M101</f>
        <v>-189.7487328953606</v>
      </c>
      <c r="N39" s="10">
        <f>-N101</f>
        <v>-214.25672734419317</v>
      </c>
      <c r="O39" s="10">
        <f>-O101</f>
        <v>-218.1729280123536</v>
      </c>
      <c r="P39" s="10">
        <f>-P101</f>
        <v>-188.6703888855945</v>
      </c>
      <c r="Q39" s="10">
        <f>-Q101</f>
        <v>-147.22424196624956</v>
      </c>
      <c r="S39" s="10"/>
      <c r="T39" s="10">
        <f>-T101</f>
        <v>-87.19409245132466</v>
      </c>
      <c r="U39" s="10">
        <f>-U101</f>
        <v>-192.88109433383465</v>
      </c>
      <c r="V39" s="10">
        <f>-V101</f>
        <v>-232.85546312969106</v>
      </c>
      <c r="W39" s="10">
        <f>-W101</f>
        <v>-248.89794530752766</v>
      </c>
      <c r="X39" s="10">
        <f>-X101</f>
        <v>-244.72136665140485</v>
      </c>
      <c r="Y39" s="10">
        <f>-Y101</f>
        <v>-239.5517136062852</v>
      </c>
    </row>
    <row r="40">
      <c r="B40" t="s" s="9">
        <v>246</v>
      </c>
      <c r="C40" s="10"/>
      <c r="D40" s="10">
        <f>D105</f>
        <v>1.5228268975829462</v>
      </c>
      <c r="E40" s="10">
        <f>E105</f>
        <v>3.461060384666202</v>
      </c>
      <c r="F40" s="10">
        <f>F105</f>
        <v>3.4488299887704916</v>
      </c>
      <c r="G40" s="10">
        <f>G105</f>
        <v>3.365651149294521</v>
      </c>
      <c r="H40" s="10">
        <f>H105</f>
        <v>3.31290096910274</v>
      </c>
      <c r="I40" s="10">
        <f>I105</f>
        <v>3.3058703508082194</v>
      </c>
      <c r="J40" s="10"/>
      <c r="K40" s="10"/>
      <c r="L40" s="10">
        <f>L105</f>
        <v>1.5604609414458124</v>
      </c>
      <c r="M40" s="10">
        <f>M105</f>
        <v>3.5465945307568028</v>
      </c>
      <c r="N40" s="10">
        <f>N105</f>
        <v>3.4488299887704916</v>
      </c>
      <c r="O40" s="10">
        <f>O105</f>
        <v>3.365651149294521</v>
      </c>
      <c r="P40" s="10">
        <f>P105</f>
        <v>3.31290096910274</v>
      </c>
      <c r="Q40" s="10">
        <f>Q105</f>
        <v>3.3058703508082194</v>
      </c>
      <c r="S40" s="10"/>
      <c r="T40" s="10">
        <f>T105</f>
        <v>1.4867409761095887</v>
      </c>
      <c r="U40" s="10">
        <f>U105</f>
        <v>3.379044790212329</v>
      </c>
      <c r="V40" s="10">
        <f>V105</f>
        <v>3.4488299887704916</v>
      </c>
      <c r="W40" s="10">
        <f>W105</f>
        <v>3.365651149294521</v>
      </c>
      <c r="X40" s="10">
        <f>X105</f>
        <v>3.31290096910274</v>
      </c>
      <c r="Y40" s="10">
        <f>Y105</f>
        <v>3.3058703508082194</v>
      </c>
    </row>
    <row r="41">
      <c r="B41" t="s" s="9">
        <v>247</v>
      </c>
      <c r="C41" s="10"/>
      <c r="D41" s="10">
        <f>D68+D79</f>
        <v>0</v>
      </c>
      <c r="E41" s="10">
        <f>E68+E79</f>
        <v>0</v>
      </c>
      <c r="F41" s="10">
        <f>F68+F79</f>
        <v>0</v>
      </c>
      <c r="G41" s="10">
        <f>G68+G79</f>
        <v>0</v>
      </c>
      <c r="H41" s="10">
        <f>H68+H79</f>
        <v>0</v>
      </c>
      <c r="I41" s="10">
        <f>I68+I79</f>
        <v>0</v>
      </c>
      <c r="J41" s="10"/>
      <c r="K41" s="10"/>
      <c r="L41" s="10">
        <f>L68+L79</f>
        <v>0</v>
      </c>
      <c r="M41" s="10">
        <f>M68+M79</f>
        <v>0</v>
      </c>
      <c r="N41" s="10">
        <f>N68+N79</f>
        <v>0</v>
      </c>
      <c r="O41" s="10">
        <f>O68+O79</f>
        <v>0</v>
      </c>
      <c r="P41" s="10">
        <f>P68+P79</f>
        <v>0</v>
      </c>
      <c r="Q41" s="10">
        <f>Q68+Q79</f>
        <v>0</v>
      </c>
      <c r="S41" s="10"/>
      <c r="T41" s="10">
        <f>T68+T79</f>
        <v>0</v>
      </c>
      <c r="U41" s="10">
        <f>U68+U79</f>
        <v>0</v>
      </c>
      <c r="V41" s="10">
        <f>V68+V79</f>
        <v>0</v>
      </c>
      <c r="W41" s="10">
        <f>W68+W79</f>
        <v>0</v>
      </c>
      <c r="X41" s="10">
        <f>X68+X79</f>
        <v>0</v>
      </c>
      <c r="Y41" s="10">
        <f>Y68+Y79</f>
        <v>0</v>
      </c>
    </row>
    <row r="42">
      <c r="B42" t="s" s="9">
        <v>248</v>
      </c>
      <c r="C42" s="10"/>
      <c r="D42" s="10">
        <f>-D77</f>
        <v>0</v>
      </c>
      <c r="E42" s="10">
        <f>-E77</f>
        <v>0</v>
      </c>
      <c r="F42" s="10">
        <f>-F77</f>
        <v>0</v>
      </c>
      <c r="G42" s="10">
        <f>-G77</f>
        <v>0</v>
      </c>
      <c r="H42" s="10">
        <f>-H77</f>
        <v>0</v>
      </c>
      <c r="I42" s="10">
        <f>-I77</f>
        <v>0</v>
      </c>
      <c r="J42" s="10"/>
      <c r="K42" s="10"/>
      <c r="L42" s="10">
        <f>-L77</f>
        <v>0</v>
      </c>
      <c r="M42" s="10">
        <f>-M77</f>
        <v>0</v>
      </c>
      <c r="N42" s="10">
        <f>-N77</f>
        <v>0</v>
      </c>
      <c r="O42" s="10">
        <f>-O77</f>
        <v>0</v>
      </c>
      <c r="P42" s="10">
        <f>-P77</f>
        <v>0</v>
      </c>
      <c r="Q42" s="10">
        <f>-Q77</f>
        <v>0</v>
      </c>
      <c r="S42" s="10"/>
      <c r="T42" s="10">
        <f>-T77</f>
        <v>0</v>
      </c>
      <c r="U42" s="10">
        <f>-U77</f>
        <v>0</v>
      </c>
      <c r="V42" s="10">
        <f>-V77</f>
        <v>0</v>
      </c>
      <c r="W42" s="10">
        <f>-W77</f>
        <v>0</v>
      </c>
      <c r="X42" s="10">
        <f>-X77</f>
        <v>0</v>
      </c>
      <c r="Y42" s="10">
        <f>-Y77</f>
        <v>0</v>
      </c>
    </row>
    <row r="43">
      <c r="B43" t="s" s="9">
        <v>249</v>
      </c>
      <c r="C43" s="10"/>
      <c r="D43" s="10">
        <f>D77</f>
        <v>0</v>
      </c>
      <c r="E43" s="10">
        <f>E77</f>
        <v>0</v>
      </c>
      <c r="F43" s="10">
        <f>F77</f>
        <v>0</v>
      </c>
      <c r="G43" s="10">
        <f>G77</f>
        <v>0</v>
      </c>
      <c r="H43" s="10">
        <f>H77</f>
        <v>0</v>
      </c>
      <c r="I43" s="10">
        <f>I77</f>
        <v>0</v>
      </c>
      <c r="J43" s="10"/>
      <c r="K43" s="10"/>
      <c r="L43" s="10">
        <f>L77</f>
        <v>0</v>
      </c>
      <c r="M43" s="10">
        <f>M77</f>
        <v>0</v>
      </c>
      <c r="N43" s="10">
        <f>N77</f>
        <v>0</v>
      </c>
      <c r="O43" s="10">
        <f>O77</f>
        <v>0</v>
      </c>
      <c r="P43" s="10">
        <f>P77</f>
        <v>0</v>
      </c>
      <c r="Q43" s="10">
        <f>Q77</f>
        <v>0</v>
      </c>
      <c r="S43" s="10"/>
      <c r="T43" s="10">
        <f>T77</f>
        <v>0</v>
      </c>
      <c r="U43" s="10">
        <f>U77</f>
        <v>0</v>
      </c>
      <c r="V43" s="10">
        <f>V77</f>
        <v>0</v>
      </c>
      <c r="W43" s="10">
        <f>W77</f>
        <v>0</v>
      </c>
      <c r="X43" s="10">
        <f>X77</f>
        <v>0</v>
      </c>
      <c r="Y43" s="10">
        <f>Y77</f>
        <v>0</v>
      </c>
    </row>
    <row r="44">
      <c r="A44"/>
      <c r="B44" t="s" s="9">
        <v>531</v>
      </c>
      <c r="C44" s="10"/>
      <c r="D44" s="10">
        <f>-MAX(0,'Term Sheet'!$C$100*MAX(0,MIN(D$6,'Term Sheet'!$C$101)-MAX('Term Sheet'!$C$7,EDATE(D$6,-12)))/('Term Sheet'!$C$101-'Term Sheet'!$C$7)-D12*D7)</f>
        <v>0</v>
      </c>
      <c r="E44" s="10">
        <f>-MAX(0,'Term Sheet'!$C$100*MAX(0,MIN(E$6,'Term Sheet'!$C$101)-MAX('Term Sheet'!$C$7,EDATE(E$6,-12)))/('Term Sheet'!$C$101-'Term Sheet'!$C$7)-E12*E7)</f>
        <v>0</v>
      </c>
      <c r="F44" s="10">
        <f>-MAX(0,'Term Sheet'!$C$100*MAX(0,MIN(F$6,'Term Sheet'!$C$101)-MAX('Term Sheet'!$C$7,EDATE(F$6,-12)))/('Term Sheet'!$C$101-'Term Sheet'!$C$7)-F12*F7)</f>
        <v>0</v>
      </c>
      <c r="G44" s="10">
        <f>-MAX(0,'Term Sheet'!$C$100*MAX(0,MIN(G$6,'Term Sheet'!$C$101)-MAX('Term Sheet'!$C$7,EDATE(G$6,-12)))/('Term Sheet'!$C$101-'Term Sheet'!$C$7)-G12*G7)</f>
        <v>0</v>
      </c>
      <c r="H44" s="10">
        <f>-MAX(0,'Term Sheet'!$C$100*MAX(0,MIN(H$6,'Term Sheet'!$C$101)-MAX('Term Sheet'!$C$7,EDATE(H$6,-12)))/('Term Sheet'!$C$101-'Term Sheet'!$C$7)-H12*H7)</f>
        <v>0</v>
      </c>
      <c r="I44" s="10">
        <f>-MAX(0,'Term Sheet'!$C$100*MAX(0,MIN(I$6,'Term Sheet'!$C$101)-MAX('Term Sheet'!$C$7,EDATE(I$6,-12)))/('Term Sheet'!$C$101-'Term Sheet'!$C$7)-I12*I7)</f>
        <v>0</v>
      </c>
      <c r="J44" s="10"/>
      <c r="K44" s="10"/>
      <c r="L44" s="10">
        <f>-MAX(0,'Term Sheet'!$C$100*MAX(0,MIN(L$6,'Term Sheet'!$C$101)-MAX('Term Sheet'!$C$7,EDATE(L$6,-12)))/('Term Sheet'!$C$101-'Term Sheet'!$C$7)-L12*L7)</f>
        <v>0</v>
      </c>
      <c r="M44" s="10">
        <f>-MAX(0,'Term Sheet'!$C$100*MAX(0,MIN(M$6,'Term Sheet'!$C$101)-MAX('Term Sheet'!$C$7,EDATE(M$6,-12)))/('Term Sheet'!$C$101-'Term Sheet'!$C$7)-M12*M7)</f>
        <v>0</v>
      </c>
      <c r="N44" s="10">
        <f>-MAX(0,'Term Sheet'!$C$100*MAX(0,MIN(N$6,'Term Sheet'!$C$101)-MAX('Term Sheet'!$C$7,EDATE(N$6,-12)))/('Term Sheet'!$C$101-'Term Sheet'!$C$7)-N12*N7)</f>
        <v>0</v>
      </c>
      <c r="O44" s="10">
        <f>-MAX(0,'Term Sheet'!$C$100*MAX(0,MIN(O$6,'Term Sheet'!$C$101)-MAX('Term Sheet'!$C$7,EDATE(O$6,-12)))/('Term Sheet'!$C$101-'Term Sheet'!$C$7)-O12*O7)</f>
        <v>0</v>
      </c>
      <c r="P44" s="10">
        <f>-MAX(0,'Term Sheet'!$C$100*MAX(0,MIN(P$6,'Term Sheet'!$C$101)-MAX('Term Sheet'!$C$7,EDATE(P$6,-12)))/('Term Sheet'!$C$101-'Term Sheet'!$C$7)-P12*P7)</f>
        <v>0</v>
      </c>
      <c r="Q44" s="10">
        <f>-MAX(0,'Term Sheet'!$C$100*MAX(0,MIN(Q$6,'Term Sheet'!$C$101)-MAX('Term Sheet'!$C$7,EDATE(Q$6,-12)))/('Term Sheet'!$C$101-'Term Sheet'!$C$7)-Q12*Q7)</f>
        <v>0</v>
      </c>
      <c r="R44"/>
      <c r="S44" s="10"/>
      <c r="T44" s="10">
        <f>-MAX(0,'Term Sheet'!$C$100*MAX(0,MIN(T$6,'Term Sheet'!$C$101)-MAX('Term Sheet'!$C$7,EDATE(T$6,-12)))/('Term Sheet'!$C$101-'Term Sheet'!$C$7)-T12*T7)</f>
        <v>0</v>
      </c>
      <c r="U44" s="10">
        <f>-MAX(0,'Term Sheet'!$C$100*MAX(0,MIN(U$6,'Term Sheet'!$C$101)-MAX('Term Sheet'!$C$7,EDATE(U$6,-12)))/('Term Sheet'!$C$101-'Term Sheet'!$C$7)-U12*U7)</f>
        <v>0</v>
      </c>
      <c r="V44" s="10">
        <f>-MAX(0,'Term Sheet'!$C$100*MAX(0,MIN(V$6,'Term Sheet'!$C$101)-MAX('Term Sheet'!$C$7,EDATE(V$6,-12)))/('Term Sheet'!$C$101-'Term Sheet'!$C$7)-V12*V7)</f>
        <v>0</v>
      </c>
      <c r="W44" s="10">
        <f>-MAX(0,'Term Sheet'!$C$100*MAX(0,MIN(W$6,'Term Sheet'!$C$101)-MAX('Term Sheet'!$C$7,EDATE(W$6,-12)))/('Term Sheet'!$C$101-'Term Sheet'!$C$7)-W12*W7)</f>
        <v>0</v>
      </c>
      <c r="X44" s="10">
        <f>-MAX(0,'Term Sheet'!$C$100*MAX(0,MIN(X$6,'Term Sheet'!$C$101)-MAX('Term Sheet'!$C$7,EDATE(X$6,-12)))/('Term Sheet'!$C$101-'Term Sheet'!$C$7)-X12*X7)</f>
        <v>0</v>
      </c>
      <c r="Y44" s="10">
        <f>-MAX(0,'Term Sheet'!$C$100*MAX(0,MIN(Y$6,'Term Sheet'!$C$101)-MAX('Term Sheet'!$C$7,EDATE(Y$6,-12)))/('Term Sheet'!$C$101-'Term Sheet'!$C$7)-Y12*Y7)</f>
        <v>0</v>
      </c>
    </row>
    <row r="45">
      <c r="B45" t="s" s="9">
        <v>250</v>
      </c>
      <c r="C45" s="10"/>
      <c r="D45" s="10">
        <f>D108-'Term Sheet'!$C$10</f>
        <v>0</v>
      </c>
      <c r="E45" s="10">
        <f>E108-'Term Sheet'!$C$10</f>
        <v>3.6407742222641275</v>
      </c>
      <c r="F45" s="10">
        <f>F108-'Term Sheet'!$C$10</f>
        <v>0</v>
      </c>
      <c r="G45" s="10">
        <f>G108-'Term Sheet'!$C$10</f>
        <v>0</v>
      </c>
      <c r="H45" s="10">
        <f>H108-'Term Sheet'!$C$10</f>
        <v>0</v>
      </c>
      <c r="I45" s="10">
        <f>I108-'Term Sheet'!$C$10</f>
        <v>0</v>
      </c>
      <c r="J45" s="10"/>
      <c r="K45" s="10"/>
      <c r="L45" s="10">
        <f>L108-'Term Sheet'!$C$10</f>
        <v>0</v>
      </c>
      <c r="M45" s="10">
        <f>M108-'Term Sheet'!$C$10</f>
        <v>7.437741326918584</v>
      </c>
      <c r="N45" s="10">
        <f>N108-'Term Sheet'!$C$10</f>
        <v>0</v>
      </c>
      <c r="O45" s="10">
        <f>O108-'Term Sheet'!$C$10</f>
        <v>0</v>
      </c>
      <c r="P45" s="10">
        <f>P108-'Term Sheet'!$C$10</f>
        <v>0</v>
      </c>
      <c r="Q45" s="10">
        <f>Q108-'Term Sheet'!$C$10</f>
        <v>0</v>
      </c>
      <c r="S45" s="10"/>
      <c r="T45" s="10">
        <f>T108-'Term Sheet'!$C$10</f>
        <v>0</v>
      </c>
      <c r="U45" s="10">
        <f>U108-'Term Sheet'!$C$10</f>
        <v>0</v>
      </c>
      <c r="V45" s="10">
        <f>V108-'Term Sheet'!$C$10</f>
        <v>0</v>
      </c>
      <c r="W45" s="10">
        <f>W108-'Term Sheet'!$C$10</f>
        <v>0</v>
      </c>
      <c r="X45" s="10">
        <f>X108-'Term Sheet'!$C$10</f>
        <v>0</v>
      </c>
      <c r="Y45" s="10">
        <f>Y108-'Term Sheet'!$C$10</f>
        <v>0</v>
      </c>
    </row>
    <row r="46">
      <c r="B46" t="s" s="41">
        <v>251</v>
      </c>
      <c r="C46" s="42"/>
      <c r="D46" s="42">
        <f>SUM(D38:D45)</f>
        <v>3.6407742222641284</v>
      </c>
      <c r="E46" s="42">
        <f>SUM(E38:E45)</f>
        <v>43.15699491605624</v>
      </c>
      <c r="F46" s="42">
        <f>SUM(F38:F45)</f>
        <v>53.594364782260534</v>
      </c>
      <c r="G46" s="42">
        <f>SUM(G38:G45)</f>
        <v>85.2333660448197</v>
      </c>
      <c r="H46" s="42">
        <f>SUM(H38:H45)</f>
        <v>142.67010615497293</v>
      </c>
      <c r="I46" s="42">
        <f>SUM(I38:I45)</f>
        <v>206.74172243941862</v>
      </c>
      <c r="J46" s="10"/>
      <c r="K46" s="42"/>
      <c r="L46" s="42">
        <f>SUM(L38:L45)</f>
        <v>7.4377413269185855</v>
      </c>
      <c r="M46" s="42">
        <f>SUM(M38:M45)</f>
        <v>81.3289842845066</v>
      </c>
      <c r="N46" s="42">
        <f>SUM(N38:N45)</f>
        <v>142.13547985699378</v>
      </c>
      <c r="O46" s="42">
        <f>SUM(O38:O45)</f>
        <v>245.78426022286436</v>
      </c>
      <c r="P46" s="42">
        <f>SUM(P38:P45)</f>
        <v>394.62723723526176</v>
      </c>
      <c r="Q46" s="42">
        <f>SUM(Q38:Q45)</f>
        <v>558.1052535200292</v>
      </c>
      <c r="S46" s="42"/>
      <c r="T46" s="42">
        <f>SUM(T38:T45)</f>
        <v>-6.977845296153275</v>
      </c>
      <c r="U46" s="42">
        <f>SUM(U38:U45)</f>
        <v>5.712863456425562</v>
      </c>
      <c r="V46" s="42">
        <f>SUM(V38:V45)</f>
        <v>-4.509311629970419</v>
      </c>
      <c r="W46" s="42">
        <f>SUM(W38:W45)</f>
        <v>9.84319542599222</v>
      </c>
      <c r="X46" s="42">
        <f>SUM(X38:X45)</f>
        <v>40.61720626334659</v>
      </c>
      <c r="Y46" s="42">
        <f>SUM(Y38:Y45)</f>
        <v>72.71028851834916</v>
      </c>
    </row>
    <row r="47">
      <c r="B47" t="s" s="9">
        <v>252</v>
      </c>
      <c r="C47" s="10"/>
      <c r="D47" s="10">
        <f>D59</f>
        <v>0</v>
      </c>
      <c r="E47" s="10">
        <f>E59</f>
        <v>0</v>
      </c>
      <c r="F47" s="10">
        <f>F59</f>
        <v>0</v>
      </c>
      <c r="G47" s="10">
        <f>G59</f>
        <v>0</v>
      </c>
      <c r="H47" s="10">
        <f>H59</f>
        <v>0</v>
      </c>
      <c r="I47" s="10">
        <f>I59</f>
        <v>0</v>
      </c>
      <c r="J47" s="10"/>
      <c r="K47" s="10"/>
      <c r="L47" s="10">
        <f>L59</f>
        <v>0</v>
      </c>
      <c r="M47" s="10">
        <f>M59</f>
        <v>0</v>
      </c>
      <c r="N47" s="10">
        <f>N59</f>
        <v>0</v>
      </c>
      <c r="O47" s="10">
        <f>O59</f>
        <v>0</v>
      </c>
      <c r="P47" s="10">
        <f>P59</f>
        <v>0</v>
      </c>
      <c r="Q47" s="10">
        <f>Q59</f>
        <v>0</v>
      </c>
      <c r="S47" s="10"/>
      <c r="T47" s="10">
        <f>T59</f>
        <v>6.977845296153275</v>
      </c>
      <c r="U47" s="10">
        <f>U59</f>
        <v>-5.712863456425562</v>
      </c>
      <c r="V47" s="10">
        <f>V59</f>
        <v>4.509311629970419</v>
      </c>
      <c r="W47" s="10">
        <f>W59</f>
        <v>-5.774293469698118</v>
      </c>
      <c r="X47" s="10">
        <f>X59</f>
        <v>0</v>
      </c>
      <c r="Y47" s="10">
        <f>Y59</f>
        <v>0</v>
      </c>
    </row>
    <row r="48">
      <c r="B48" t="s" s="41">
        <v>253</v>
      </c>
      <c r="C48" s="42"/>
      <c r="D48" s="42">
        <f>D46+D47</f>
        <v>3.6407742222641284</v>
      </c>
      <c r="E48" s="42">
        <f>E46+E47</f>
        <v>43.15699491605624</v>
      </c>
      <c r="F48" s="42">
        <f>F46+F47</f>
        <v>53.594364782260534</v>
      </c>
      <c r="G48" s="42">
        <f>G46+G47</f>
        <v>85.2333660448197</v>
      </c>
      <c r="H48" s="42">
        <f>H46+H47</f>
        <v>142.67010615497293</v>
      </c>
      <c r="I48" s="42">
        <f>I46+I47</f>
        <v>206.74172243941862</v>
      </c>
      <c r="J48" s="10"/>
      <c r="K48" s="42"/>
      <c r="L48" s="42">
        <f>L46+L47</f>
        <v>7.4377413269185855</v>
      </c>
      <c r="M48" s="42">
        <f>M46+M47</f>
        <v>81.3289842845066</v>
      </c>
      <c r="N48" s="42">
        <f>N46+N47</f>
        <v>142.13547985699378</v>
      </c>
      <c r="O48" s="42">
        <f>O46+O47</f>
        <v>245.78426022286436</v>
      </c>
      <c r="P48" s="42">
        <f>P46+P47</f>
        <v>394.62723723526176</v>
      </c>
      <c r="Q48" s="42">
        <f>Q46+Q47</f>
        <v>558.1052535200292</v>
      </c>
      <c r="S48" s="42"/>
      <c r="T48" s="42">
        <f>T46+T47</f>
        <v>0</v>
      </c>
      <c r="U48" s="42">
        <f>U46+U47</f>
        <v>0</v>
      </c>
      <c r="V48" s="42">
        <f>V46+V47</f>
        <v>0</v>
      </c>
      <c r="W48" s="42">
        <f>W46+W47</f>
        <v>4.068901956294103</v>
      </c>
      <c r="X48" s="42">
        <f>X46+X47</f>
        <v>40.61720626334659</v>
      </c>
      <c r="Y48" s="42">
        <f>Y46+Y47</f>
        <v>72.71028851834916</v>
      </c>
    </row>
    <row r="49">
      <c r="B49" t="s" s="9">
        <v>254</v>
      </c>
      <c r="C49" s="24"/>
      <c r="D49" s="24">
        <f>IF(D$6&lt;'Term Sheet'!$C$46,0,IF(C120&lt;='Term Sheet'!$C$42,'Term Sheet'!$C$43,IF(C120&lt;='Term Sheet'!$C$40,'Term Sheet'!$C$41,'Term Sheet'!$C$39)))</f>
        <v>0</v>
      </c>
      <c r="E49" s="24">
        <f>IF(E$6&lt;'Term Sheet'!$C$46,0,IF(D120&lt;='Term Sheet'!$C$42,'Term Sheet'!$C$43,IF(D120&lt;='Term Sheet'!$C$40,'Term Sheet'!$C$41,'Term Sheet'!$C$39)))</f>
        <v>0.5</v>
      </c>
      <c r="F49" s="24">
        <f>IF(F$6&lt;'Term Sheet'!$C$46,0,IF(E120&lt;='Term Sheet'!$C$42,'Term Sheet'!$C$43,IF(E120&lt;='Term Sheet'!$C$40,'Term Sheet'!$C$41,'Term Sheet'!$C$39)))</f>
        <v>0</v>
      </c>
      <c r="G49" s="24">
        <f>IF(G$6&lt;'Term Sheet'!$C$46,0,IF(F120&lt;='Term Sheet'!$C$42,'Term Sheet'!$C$43,IF(F120&lt;='Term Sheet'!$C$40,'Term Sheet'!$C$41,'Term Sheet'!$C$39)))</f>
        <v>0</v>
      </c>
      <c r="H49" s="24">
        <f>IF(H$6&lt;'Term Sheet'!$C$46,0,IF(G120&lt;='Term Sheet'!$C$42,'Term Sheet'!$C$43,IF(G120&lt;='Term Sheet'!$C$40,'Term Sheet'!$C$41,'Term Sheet'!$C$39)))</f>
        <v>0</v>
      </c>
      <c r="I49" s="24">
        <f>IF(I$6&lt;'Term Sheet'!$C$46,0,IF(H120&lt;='Term Sheet'!$C$42,'Term Sheet'!$C$43,IF(H120&lt;='Term Sheet'!$C$40,'Term Sheet'!$C$41,'Term Sheet'!$C$39)))</f>
        <v>0</v>
      </c>
      <c r="J49" s="24"/>
      <c r="K49" s="24"/>
      <c r="L49" s="24">
        <f>IF(L$6&lt;'Term Sheet'!$C$46,0,IF(K120&lt;='Term Sheet'!$C$42,'Term Sheet'!$C$43,IF(K120&lt;='Term Sheet'!$C$40,'Term Sheet'!$C$41,'Term Sheet'!$C$39)))</f>
        <v>0</v>
      </c>
      <c r="M49" s="24">
        <f>IF(M$6&lt;'Term Sheet'!$C$46,0,IF(L120&lt;='Term Sheet'!$C$42,'Term Sheet'!$C$43,IF(L120&lt;='Term Sheet'!$C$40,'Term Sheet'!$C$41,'Term Sheet'!$C$39)))</f>
        <v>0.5</v>
      </c>
      <c r="N49" s="24">
        <f>IF(N$6&lt;'Term Sheet'!$C$46,0,IF(M120&lt;='Term Sheet'!$C$42,'Term Sheet'!$C$43,IF(M120&lt;='Term Sheet'!$C$40,'Term Sheet'!$C$41,'Term Sheet'!$C$39)))</f>
        <v>0</v>
      </c>
      <c r="O49" s="24">
        <f>IF(O$6&lt;'Term Sheet'!$C$46,0,IF(N120&lt;='Term Sheet'!$C$42,'Term Sheet'!$C$43,IF(N120&lt;='Term Sheet'!$C$40,'Term Sheet'!$C$41,'Term Sheet'!$C$39)))</f>
        <v>0</v>
      </c>
      <c r="P49" s="24">
        <f>IF(P$6&lt;'Term Sheet'!$C$46,0,IF(O120&lt;='Term Sheet'!$C$42,'Term Sheet'!$C$43,IF(O120&lt;='Term Sheet'!$C$40,'Term Sheet'!$C$41,'Term Sheet'!$C$39)))</f>
        <v>0</v>
      </c>
      <c r="Q49" s="24">
        <f>IF(Q$6&lt;'Term Sheet'!$C$46,0,IF(P120&lt;='Term Sheet'!$C$42,'Term Sheet'!$C$43,IF(P120&lt;='Term Sheet'!$C$40,'Term Sheet'!$C$41,'Term Sheet'!$C$39)))</f>
        <v>0</v>
      </c>
      <c r="S49" s="24"/>
      <c r="T49" s="24">
        <f>IF(T$6&lt;'Term Sheet'!$C$46,0,IF(S120&lt;='Term Sheet'!$C$42,'Term Sheet'!$C$43,IF(S120&lt;='Term Sheet'!$C$40,'Term Sheet'!$C$41,'Term Sheet'!$C$39)))</f>
        <v>0</v>
      </c>
      <c r="U49" s="24">
        <f>IF(U$6&lt;'Term Sheet'!$C$46,0,IF(T120&lt;='Term Sheet'!$C$42,'Term Sheet'!$C$43,IF(T120&lt;='Term Sheet'!$C$40,'Term Sheet'!$C$41,'Term Sheet'!$C$39)))</f>
        <v>0.5</v>
      </c>
      <c r="V49" s="24">
        <f>IF(V$6&lt;'Term Sheet'!$C$46,0,IF(U120&lt;='Term Sheet'!$C$42,'Term Sheet'!$C$43,IF(U120&lt;='Term Sheet'!$C$40,'Term Sheet'!$C$41,'Term Sheet'!$C$39)))</f>
        <v>0.25</v>
      </c>
      <c r="W49" s="24">
        <f>IF(W$6&lt;'Term Sheet'!$C$46,0,IF(V120&lt;='Term Sheet'!$C$42,'Term Sheet'!$C$43,IF(V120&lt;='Term Sheet'!$C$40,'Term Sheet'!$C$41,'Term Sheet'!$C$39)))</f>
        <v>0</v>
      </c>
      <c r="X49" s="24">
        <f>IF(X$6&lt;'Term Sheet'!$C$46,0,IF(W120&lt;='Term Sheet'!$C$42,'Term Sheet'!$C$43,IF(W120&lt;='Term Sheet'!$C$40,'Term Sheet'!$C$41,'Term Sheet'!$C$39)))</f>
        <v>0</v>
      </c>
      <c r="Y49" s="24">
        <f>IF(Y$6&lt;'Term Sheet'!$C$46,0,IF(X120&lt;='Term Sheet'!$C$42,'Term Sheet'!$C$43,IF(X120&lt;='Term Sheet'!$C$40,'Term Sheet'!$C$41,'Term Sheet'!$C$39)))</f>
        <v>0</v>
      </c>
    </row>
    <row r="50">
      <c r="B50" t="s" s="9">
        <v>255</v>
      </c>
      <c r="C50" s="10"/>
      <c r="D50" s="10">
        <f>MAX('Term Sheet'!$C$44,'Term Sheet'!$C$45*D22)</f>
        <v>105</v>
      </c>
      <c r="E50" s="10">
        <f>MAX('Term Sheet'!$C$44,'Term Sheet'!$C$45*E22)</f>
        <v>118.64237603334755</v>
      </c>
      <c r="F50" s="10">
        <f>MAX('Term Sheet'!$C$44,'Term Sheet'!$C$45*F22)</f>
        <v>135.90499914231688</v>
      </c>
      <c r="G50" s="10">
        <f>MAX('Term Sheet'!$C$44,'Term Sheet'!$C$45*G22)</f>
        <v>154.253171849131</v>
      </c>
      <c r="H50" s="10">
        <f>MAX('Term Sheet'!$C$44,'Term Sheet'!$C$45*H22)</f>
        <v>172.04808373083742</v>
      </c>
      <c r="I50" s="10">
        <f>MAX('Term Sheet'!$C$44,'Term Sheet'!$C$45*I22)</f>
        <v>190.80850611035382</v>
      </c>
      <c r="J50" s="10"/>
      <c r="K50" s="10"/>
      <c r="L50" s="10">
        <f>MAX('Term Sheet'!$C$44,'Term Sheet'!$C$45*L22)</f>
        <v>105</v>
      </c>
      <c r="M50" s="10">
        <f>MAX('Term Sheet'!$C$44,'Term Sheet'!$C$45*M22)</f>
        <v>125.63499616438358</v>
      </c>
      <c r="N50" s="10">
        <f>MAX('Term Sheet'!$C$44,'Term Sheet'!$C$45*N22)</f>
        <v>155.69121534246577</v>
      </c>
      <c r="O50" s="10">
        <f>MAX('Term Sheet'!$C$44,'Term Sheet'!$C$45*O22)</f>
        <v>190.55642958904113</v>
      </c>
      <c r="P50" s="10">
        <f>MAX('Term Sheet'!$C$44,'Term Sheet'!$C$45*P22)</f>
        <v>229.32895232876714</v>
      </c>
      <c r="Q50" s="10">
        <f>MAX('Term Sheet'!$C$44,'Term Sheet'!$C$45*Q22)</f>
        <v>269.0161579530082</v>
      </c>
      <c r="S50" s="10"/>
      <c r="T50" s="10">
        <f>MAX('Term Sheet'!$C$44,'Term Sheet'!$C$45*T22)</f>
        <v>105</v>
      </c>
      <c r="U50" s="10">
        <f>MAX('Term Sheet'!$C$44,'Term Sheet'!$C$45*U22)</f>
        <v>108.25105350296928</v>
      </c>
      <c r="V50" s="10">
        <f>MAX('Term Sheet'!$C$44,'Term Sheet'!$C$45*V22)</f>
        <v>120.78407015383199</v>
      </c>
      <c r="W50" s="10">
        <f>MAX('Term Sheet'!$C$44,'Term Sheet'!$C$45*W22)</f>
        <v>133.49756952580597</v>
      </c>
      <c r="X50" s="10">
        <f>MAX('Term Sheet'!$C$44,'Term Sheet'!$C$45*X22)</f>
        <v>144.90830565404758</v>
      </c>
      <c r="Y50" s="10">
        <f>MAX('Term Sheet'!$C$44,'Term Sheet'!$C$45*Y22)</f>
        <v>156.37768167373227</v>
      </c>
    </row>
    <row r="51">
      <c r="B51" t="s" s="9">
        <v>256</v>
      </c>
      <c r="C51" s="10"/>
      <c r="D51" s="10">
        <f>D66+D67+D68+D76+D77+D78+D79</f>
        <v>2735.179759401606</v>
      </c>
      <c r="E51" s="10">
        <f>E66+E67+E68+E76+E77+E78+E79</f>
        <v>2803.87852552676</v>
      </c>
      <c r="F51" s="10">
        <f>F66+F67+F68+F76+F77+F78+F79</f>
        <v>2792.3038161166487</v>
      </c>
      <c r="G51" s="10">
        <f>G66+G67+G68+G76+G77+G78+G79</f>
        <v>2738.709451334388</v>
      </c>
      <c r="H51" s="10">
        <f>H66+H67+H68+H76+H77+H78+H79</f>
        <v>2653.4760852895683</v>
      </c>
      <c r="I51" s="10">
        <f>I66+I67+I68+I76+I77+I78+I79</f>
        <v>2510.8059791345954</v>
      </c>
      <c r="J51" s="10"/>
      <c r="K51" s="10"/>
      <c r="L51" s="10">
        <f>L66+L67+L68+L76+L77+L78+L79</f>
        <v>2735.179759401606</v>
      </c>
      <c r="M51" s="10">
        <f>M66+M67+M68+M76+M77+M78+M79</f>
        <v>2803.395335787919</v>
      </c>
      <c r="N51" s="10">
        <f>N66+N67+N68+N76+N77+N78+N79</f>
        <v>2752.6906791594233</v>
      </c>
      <c r="O51" s="10">
        <f>O66+O67+O68+O76+O77+O78+O79</f>
        <v>2610.5551993024296</v>
      </c>
      <c r="P51" s="10">
        <f>P66+P67+P68+P76+P77+P78+P79</f>
        <v>2364.7709390795653</v>
      </c>
      <c r="Q51" s="10">
        <f>Q66+Q67+Q68+Q76+Q77+Q78+Q79</f>
        <v>1970.1437018443035</v>
      </c>
      <c r="S51" s="10"/>
      <c r="T51" s="10">
        <f>T66+T67+T68+T76+T77+T78+T79</f>
        <v>2735.179759401606</v>
      </c>
      <c r="U51" s="10">
        <f>U66+U67+U68+U76+U77+U78+U79</f>
        <v>2804.424816601647</v>
      </c>
      <c r="V51" s="10">
        <f>V66+V67+V68+V76+V77+V78+V79</f>
        <v>2838.536983219418</v>
      </c>
      <c r="W51" s="10">
        <f>W66+W67+W68+W76+W77+W78+W79</f>
        <v>2838.536983219418</v>
      </c>
      <c r="X51" s="10">
        <f>X66+X67+X68+X76+X77+X78+X79</f>
        <v>2834.468081263127</v>
      </c>
      <c r="Y51" s="10">
        <f>Y66+Y67+Y68+Y76+Y77+Y78+Y79</f>
        <v>2793.8508749997936</v>
      </c>
    </row>
    <row r="52">
      <c r="B52" t="s" s="9">
        <v>257</v>
      </c>
      <c r="C52" s="10"/>
      <c r="D52" s="10">
        <f>-MIN(MAX(0,D48-D50)*D49,MAX(0,D51))</f>
        <v>0</v>
      </c>
      <c r="E52" s="10">
        <f>-MIN(MAX(0,E48-E50)*E49,MAX(0,E51))</f>
        <v>0</v>
      </c>
      <c r="F52" s="10">
        <f>-MIN(MAX(0,F48-F50)*F49,MAX(0,F51))</f>
        <v>0</v>
      </c>
      <c r="G52" s="10">
        <f>-MIN(MAX(0,G48-G50)*G49,MAX(0,G51))</f>
        <v>0</v>
      </c>
      <c r="H52" s="10">
        <f>-MIN(MAX(0,H48-H50)*H49,MAX(0,H51))</f>
        <v>0</v>
      </c>
      <c r="I52" s="10">
        <f>-MIN(MAX(0,I48-I50)*I49,MAX(0,I51))</f>
        <v>0</v>
      </c>
      <c r="J52" s="10"/>
      <c r="K52" s="10"/>
      <c r="L52" s="10">
        <f>-MIN(MAX(0,L48-L50)*L49,MAX(0,L51))</f>
        <v>0</v>
      </c>
      <c r="M52" s="10">
        <f>-MIN(MAX(0,M48-M50)*M49,MAX(0,M51))</f>
        <v>0</v>
      </c>
      <c r="N52" s="10">
        <f>-MIN(MAX(0,N48-N50)*N49,MAX(0,N51))</f>
        <v>0</v>
      </c>
      <c r="O52" s="10">
        <f>-MIN(MAX(0,O48-O50)*O49,MAX(0,O51))</f>
        <v>0</v>
      </c>
      <c r="P52" s="10">
        <f>-MIN(MAX(0,P48-P50)*P49,MAX(0,P51))</f>
        <v>0</v>
      </c>
      <c r="Q52" s="10">
        <f>-MIN(MAX(0,Q48-Q50)*Q49,MAX(0,Q51))</f>
        <v>0</v>
      </c>
      <c r="S52" s="10"/>
      <c r="T52" s="10">
        <f>-MIN(MAX(0,T48-T50)*T49,MAX(0,T51))</f>
        <v>0</v>
      </c>
      <c r="U52" s="10">
        <f>-MIN(MAX(0,U48-U50)*U49,MAX(0,U51))</f>
        <v>0</v>
      </c>
      <c r="V52" s="10">
        <f>-MIN(MAX(0,V48-V50)*V49,MAX(0,V51))</f>
        <v>0</v>
      </c>
      <c r="W52" s="10">
        <f>-MIN(MAX(0,W48-W50)*W49,MAX(0,W51))</f>
        <v>0</v>
      </c>
      <c r="X52" s="10">
        <f>-MIN(MAX(0,X48-X50)*X49,MAX(0,X51))</f>
        <v>0</v>
      </c>
      <c r="Y52" s="10">
        <f>-MIN(MAX(0,Y48-Y50)*Y49,MAX(0,Y51))</f>
        <v>0</v>
      </c>
    </row>
    <row r="53">
      <c r="B53" t="s" s="9">
        <v>258</v>
      </c>
      <c r="C53" s="10"/>
      <c r="D53" s="10">
        <f>-(MAX(-D52,IF(D$6&gt;='Term Sheet'!$C$48,MAX(0,MIN(D48*'Term Sheet'!$C$47,D51)),0))+D52)</f>
        <v>0</v>
      </c>
      <c r="E53" s="10">
        <f>-(MAX(-E52,IF(E$6&gt;='Term Sheet'!$C$48,MAX(0,MIN(E48*'Term Sheet'!$C$47,E51)),0))+E52)</f>
        <v>-43.15699491605624</v>
      </c>
      <c r="F53" s="10">
        <f>-(MAX(-F52,IF(F$6&gt;='Term Sheet'!$C$48,MAX(0,MIN(F48*'Term Sheet'!$C$47,F51)),0))+F52)</f>
        <v>-53.594364782260534</v>
      </c>
      <c r="G53" s="10">
        <f>-(MAX(-G52,IF(G$6&gt;='Term Sheet'!$C$48,MAX(0,MIN(G48*'Term Sheet'!$C$47,G51)),0))+G52)</f>
        <v>-85.2333660448197</v>
      </c>
      <c r="H53" s="10">
        <f>-(MAX(-H52,IF(H$6&gt;='Term Sheet'!$C$48,MAX(0,MIN(H48*'Term Sheet'!$C$47,H51)),0))+H52)</f>
        <v>-142.67010615497293</v>
      </c>
      <c r="I53" s="10">
        <f>-(MAX(-I52,IF(I$6&gt;='Term Sheet'!$C$48,MAX(0,MIN(I48*'Term Sheet'!$C$47,I51)),0))+I52)</f>
        <v>-206.74172243941862</v>
      </c>
      <c r="J53" s="10"/>
      <c r="K53" s="10"/>
      <c r="L53" s="10">
        <f>-(MAX(-L52,IF(L$6&gt;='Term Sheet'!$C$48,MAX(0,MIN(L48*'Term Sheet'!$C$47,L51)),0))+L52)</f>
        <v>0</v>
      </c>
      <c r="M53" s="10">
        <f>-(MAX(-M52,IF(M$6&gt;='Term Sheet'!$C$48,MAX(0,MIN(M48*'Term Sheet'!$C$47,M51)),0))+M52)</f>
        <v>-81.3289842845066</v>
      </c>
      <c r="N53" s="10">
        <f>-(MAX(-N52,IF(N$6&gt;='Term Sheet'!$C$48,MAX(0,MIN(N48*'Term Sheet'!$C$47,N51)),0))+N52)</f>
        <v>-142.13547985699378</v>
      </c>
      <c r="O53" s="10">
        <f>-(MAX(-O52,IF(O$6&gt;='Term Sheet'!$C$48,MAX(0,MIN(O48*'Term Sheet'!$C$47,O51)),0))+O52)</f>
        <v>-245.78426022286436</v>
      </c>
      <c r="P53" s="10">
        <f>-(MAX(-P52,IF(P$6&gt;='Term Sheet'!$C$48,MAX(0,MIN(P48*'Term Sheet'!$C$47,P51)),0))+P52)</f>
        <v>-394.62723723526176</v>
      </c>
      <c r="Q53" s="10">
        <f>-(MAX(-Q52,IF(Q$6&gt;='Term Sheet'!$C$48,MAX(0,MIN(Q48*'Term Sheet'!$C$47,Q51)),0))+Q52)</f>
        <v>-558.1052535200292</v>
      </c>
      <c r="S53" s="10"/>
      <c r="T53" s="10">
        <f>-(MAX(-T52,IF(T$6&gt;='Term Sheet'!$C$48,MAX(0,MIN(T48*'Term Sheet'!$C$47,T51)),0))+T52)</f>
        <v>0</v>
      </c>
      <c r="U53" s="10">
        <f>-(MAX(-U52,IF(U$6&gt;='Term Sheet'!$C$48,MAX(0,MIN(U48*'Term Sheet'!$C$47,U51)),0))+U52)</f>
        <v>0</v>
      </c>
      <c r="V53" s="10">
        <f>-(MAX(-V52,IF(V$6&gt;='Term Sheet'!$C$48,MAX(0,MIN(V48*'Term Sheet'!$C$47,V51)),0))+V52)</f>
        <v>0</v>
      </c>
      <c r="W53" s="10">
        <f>-(MAX(-W52,IF(W$6&gt;='Term Sheet'!$C$48,MAX(0,MIN(W48*'Term Sheet'!$C$47,W51)),0))+W52)</f>
        <v>-4.068901956294103</v>
      </c>
      <c r="X53" s="10">
        <f>-(MAX(-X52,IF(X$6&gt;='Term Sheet'!$C$48,MAX(0,MIN(X48*'Term Sheet'!$C$47,X51)),0))+X52)</f>
        <v>-40.61720626334659</v>
      </c>
      <c r="Y53" s="10">
        <f>-(MAX(-Y52,IF(Y$6&gt;='Term Sheet'!$C$48,MAX(0,MIN(Y48*'Term Sheet'!$C$47,Y51)),0))+Y52)</f>
        <v>-72.71028851834916</v>
      </c>
    </row>
    <row r="54">
      <c r="B54" t="s" s="41">
        <v>259</v>
      </c>
      <c r="C54" s="42"/>
      <c r="D54" s="42">
        <f>D48+D52+D53</f>
        <v>3.6407742222641284</v>
      </c>
      <c r="E54" s="42">
        <f>E48+E52+E53</f>
        <v>0</v>
      </c>
      <c r="F54" s="42">
        <f>F48+F52+F53</f>
        <v>0</v>
      </c>
      <c r="G54" s="42">
        <f>G48+G52+G53</f>
        <v>0</v>
      </c>
      <c r="H54" s="42">
        <f>H48+H52+H53</f>
        <v>0</v>
      </c>
      <c r="I54" s="42">
        <f>I48+I52+I53</f>
        <v>0</v>
      </c>
      <c r="J54" s="10"/>
      <c r="K54" s="42"/>
      <c r="L54" s="42">
        <f>L48+L52+L53</f>
        <v>7.4377413269185855</v>
      </c>
      <c r="M54" s="42">
        <f>M48+M52+M53</f>
        <v>0</v>
      </c>
      <c r="N54" s="42">
        <f>N48+N52+N53</f>
        <v>0</v>
      </c>
      <c r="O54" s="42">
        <f>O48+O52+O53</f>
        <v>0</v>
      </c>
      <c r="P54" s="42">
        <f>P48+P52+P53</f>
        <v>0</v>
      </c>
      <c r="Q54" s="42">
        <f>Q48+Q52+Q53</f>
        <v>0</v>
      </c>
      <c r="S54" s="42"/>
      <c r="T54" s="42">
        <f>T48+T52+T53</f>
        <v>0</v>
      </c>
      <c r="U54" s="42">
        <f>U48+U52+U53</f>
        <v>0</v>
      </c>
      <c r="V54" s="42">
        <f>V48+V52+V53</f>
        <v>0</v>
      </c>
      <c r="W54" s="42">
        <f>W48+W52+W53</f>
        <v>0</v>
      </c>
      <c r="X54" s="42">
        <f>X48+X52+X53</f>
        <v>0</v>
      </c>
      <c r="Y54" s="42">
        <f>Y48+Y52+Y53</f>
        <v>0</v>
      </c>
    </row>
    <row r="55">
      <c r="S55"/>
      <c r="T55"/>
      <c r="U55"/>
      <c r="V55"/>
      <c r="W55"/>
      <c r="X55"/>
      <c r="Y55"/>
    </row>
    <row r="56">
      <c r="B56" t="s" s="34">
        <v>260</v>
      </c>
      <c r="C56" s="34"/>
      <c r="D56" s="34"/>
      <c r="E56" s="34"/>
      <c r="F56" s="34"/>
      <c r="G56" s="34"/>
      <c r="H56" s="34"/>
      <c r="I56" s="34"/>
      <c r="J56" s="34"/>
      <c r="K56" s="34"/>
      <c r="L56" s="34"/>
      <c r="M56" s="34"/>
      <c r="N56" s="34"/>
      <c r="O56" s="34"/>
      <c r="P56" s="34"/>
      <c r="Q56" s="34"/>
      <c r="R56" s="34"/>
      <c r="S56" s="34"/>
      <c r="T56" s="34"/>
      <c r="U56" s="34"/>
      <c r="V56" s="34"/>
      <c r="W56" s="34"/>
      <c r="X56" s="34"/>
      <c r="Y56" s="34"/>
    </row>
    <row r="57">
      <c r="B57" t="s" s="9">
        <v>49</v>
      </c>
      <c r="C57" s="44">
        <f>'Term Sheet'!$C$66</f>
        <v>325</v>
      </c>
      <c r="D57" s="44">
        <f>'Term Sheet'!$C$66</f>
        <v>325</v>
      </c>
      <c r="E57" s="44">
        <f>'Term Sheet'!$C$66</f>
        <v>325</v>
      </c>
      <c r="F57" s="44">
        <f>'Term Sheet'!$C$66</f>
        <v>325</v>
      </c>
      <c r="G57" s="44">
        <f>'Term Sheet'!$C$66</f>
        <v>325</v>
      </c>
      <c r="H57" s="44">
        <f>'Term Sheet'!$C$66</f>
        <v>325</v>
      </c>
      <c r="I57" s="44">
        <f>'Term Sheet'!$C$66</f>
        <v>325</v>
      </c>
      <c r="J57" s="10"/>
      <c r="K57" s="44">
        <f>'Term Sheet'!$C$66</f>
        <v>325</v>
      </c>
      <c r="L57" s="44">
        <f>'Term Sheet'!$C$66</f>
        <v>325</v>
      </c>
      <c r="M57" s="44">
        <f>'Term Sheet'!$C$66</f>
        <v>325</v>
      </c>
      <c r="N57" s="44">
        <f>'Term Sheet'!$C$66</f>
        <v>325</v>
      </c>
      <c r="O57" s="44">
        <f>'Term Sheet'!$C$66</f>
        <v>325</v>
      </c>
      <c r="P57" s="44">
        <f>'Term Sheet'!$C$66</f>
        <v>325</v>
      </c>
      <c r="Q57" s="44">
        <f>'Term Sheet'!$C$66</f>
        <v>325</v>
      </c>
      <c r="S57" s="44">
        <f>'Term Sheet'!$C$66</f>
        <v>325</v>
      </c>
      <c r="T57" s="44">
        <f>'Term Sheet'!$C$66</f>
        <v>325</v>
      </c>
      <c r="U57" s="44">
        <f>'Term Sheet'!$C$66</f>
        <v>325</v>
      </c>
      <c r="V57" s="44">
        <f>'Term Sheet'!$C$66</f>
        <v>325</v>
      </c>
      <c r="W57" s="44">
        <f>'Term Sheet'!$C$66</f>
        <v>325</v>
      </c>
      <c r="X57" s="44">
        <f>'Term Sheet'!$C$66</f>
        <v>325</v>
      </c>
      <c r="Y57" s="44">
        <f>'Term Sheet'!$C$66</f>
        <v>325</v>
      </c>
    </row>
    <row r="58">
      <c r="B58" t="s" s="9">
        <v>261</v>
      </c>
      <c r="C58" s="10"/>
      <c r="D58" s="10">
        <f>C60</f>
        <v>0</v>
      </c>
      <c r="E58" s="10">
        <f>D60</f>
        <v>0</v>
      </c>
      <c r="F58" s="10">
        <f>E60</f>
        <v>0</v>
      </c>
      <c r="G58" s="10">
        <f>F60</f>
        <v>0</v>
      </c>
      <c r="H58" s="10">
        <f>G60</f>
        <v>0</v>
      </c>
      <c r="I58" s="10">
        <f>H60</f>
        <v>0</v>
      </c>
      <c r="J58" s="10"/>
      <c r="K58" s="10"/>
      <c r="L58" s="10">
        <f>K60</f>
        <v>0</v>
      </c>
      <c r="M58" s="10">
        <f>L60</f>
        <v>0</v>
      </c>
      <c r="N58" s="10">
        <f>M60</f>
        <v>0</v>
      </c>
      <c r="O58" s="10">
        <f>N60</f>
        <v>0</v>
      </c>
      <c r="P58" s="10">
        <f>O60</f>
        <v>0</v>
      </c>
      <c r="Q58" s="10">
        <f>P60</f>
        <v>0</v>
      </c>
      <c r="S58" s="10"/>
      <c r="T58" s="10">
        <f>S60</f>
        <v>0</v>
      </c>
      <c r="U58" s="10">
        <f>T60</f>
        <v>6.977845296153275</v>
      </c>
      <c r="V58" s="10">
        <f>U60</f>
        <v>1.2649818397277128</v>
      </c>
      <c r="W58" s="10">
        <f>V60</f>
        <v>5.774293469698132</v>
      </c>
      <c r="X58" s="10">
        <f>W60</f>
        <v>0</v>
      </c>
      <c r="Y58" s="10">
        <f>X60</f>
        <v>0</v>
      </c>
    </row>
    <row r="59">
      <c r="B59" t="s" s="9">
        <v>262</v>
      </c>
      <c r="C59" s="10"/>
      <c r="D59" s="10">
        <f>MAX(-D58,MIN(D57-D58,-D46))</f>
        <v>0</v>
      </c>
      <c r="E59" s="10">
        <f>MAX(-E58,MIN(E57-E58,-E46))</f>
        <v>0</v>
      </c>
      <c r="F59" s="10">
        <f>MAX(-F58,MIN(F57-F58,-F46))</f>
        <v>0</v>
      </c>
      <c r="G59" s="10">
        <f>MAX(-G58,MIN(G57-G58,-G46))</f>
        <v>0</v>
      </c>
      <c r="H59" s="10">
        <f>MAX(-H58,MIN(H57-H58,-H46))</f>
        <v>0</v>
      </c>
      <c r="I59" s="10">
        <f>MAX(-I58,MIN(I57-I58,-I46))</f>
        <v>0</v>
      </c>
      <c r="J59" s="10"/>
      <c r="K59" s="10"/>
      <c r="L59" s="10">
        <f>MAX(-L58,MIN(L57-L58,-L46))</f>
        <v>0</v>
      </c>
      <c r="M59" s="10">
        <f>MAX(-M58,MIN(M57-M58,-M46))</f>
        <v>0</v>
      </c>
      <c r="N59" s="10">
        <f>MAX(-N58,MIN(N57-N58,-N46))</f>
        <v>0</v>
      </c>
      <c r="O59" s="10">
        <f>MAX(-O58,MIN(O57-O58,-O46))</f>
        <v>0</v>
      </c>
      <c r="P59" s="10">
        <f>MAX(-P58,MIN(P57-P58,-P46))</f>
        <v>0</v>
      </c>
      <c r="Q59" s="10">
        <f>MAX(-Q58,MIN(Q57-Q58,-Q46))</f>
        <v>0</v>
      </c>
      <c r="S59" s="10"/>
      <c r="T59" s="10">
        <f>MAX(-T58,MIN(T57-T58,-T46))</f>
        <v>6.977845296153275</v>
      </c>
      <c r="U59" s="10">
        <f>MAX(-U58,MIN(U57-U58,-U46))</f>
        <v>-5.712863456425562</v>
      </c>
      <c r="V59" s="10">
        <f>MAX(-V58,MIN(V57-V58,-V46))</f>
        <v>4.509311629970419</v>
      </c>
      <c r="W59" s="10">
        <f>MAX(-W58,MIN(W57-W58,-W46))</f>
        <v>-5.774293469698132</v>
      </c>
      <c r="X59" s="10">
        <f>MAX(-X58,MIN(X57-X58,-X46))</f>
        <v>0</v>
      </c>
      <c r="Y59" s="10">
        <f>MAX(-Y58,MIN(Y57-Y58,-Y46))</f>
        <v>0</v>
      </c>
    </row>
    <row r="60">
      <c r="B60" t="s" s="41">
        <v>263</v>
      </c>
      <c r="C60" s="46">
        <f>'Term Sheet'!$C$68</f>
        <v>0</v>
      </c>
      <c r="D60" s="42">
        <f>D58+D59</f>
        <v>0</v>
      </c>
      <c r="E60" s="42">
        <f>E58+E59</f>
        <v>0</v>
      </c>
      <c r="F60" s="42">
        <f>F58+F59</f>
        <v>0</v>
      </c>
      <c r="G60" s="42">
        <f>G58+G59</f>
        <v>0</v>
      </c>
      <c r="H60" s="42">
        <f>H58+H59</f>
        <v>0</v>
      </c>
      <c r="I60" s="42">
        <f>I58+I59</f>
        <v>0</v>
      </c>
      <c r="J60" s="10"/>
      <c r="K60" s="46">
        <f>'Term Sheet'!$C$68</f>
        <v>0</v>
      </c>
      <c r="L60" s="42">
        <f>L58+L59</f>
        <v>0</v>
      </c>
      <c r="M60" s="42">
        <f>M58+M59</f>
        <v>0</v>
      </c>
      <c r="N60" s="42">
        <f>N58+N59</f>
        <v>0</v>
      </c>
      <c r="O60" s="42">
        <f>O58+O59</f>
        <v>0</v>
      </c>
      <c r="P60" s="42">
        <f>P58+P59</f>
        <v>0</v>
      </c>
      <c r="Q60" s="42">
        <f>Q58+Q59</f>
        <v>0</v>
      </c>
      <c r="S60" s="46">
        <f>'Term Sheet'!$C$68</f>
        <v>0</v>
      </c>
      <c r="T60" s="42">
        <f>T58+T59</f>
        <v>6.977845296153275</v>
      </c>
      <c r="U60" s="42">
        <f>U58+U59</f>
        <v>1.2649818397277128</v>
      </c>
      <c r="V60" s="42">
        <f>V58+V59</f>
        <v>5.774293469698132</v>
      </c>
      <c r="W60" s="42">
        <f>W58+W59</f>
        <v>0</v>
      </c>
      <c r="X60" s="42">
        <f>X58+X59</f>
        <v>0</v>
      </c>
      <c r="Y60" s="42">
        <f>Y58+Y59</f>
        <v>0</v>
      </c>
    </row>
    <row r="61">
      <c r="B61" t="s" s="9">
        <v>264</v>
      </c>
      <c r="C61" s="10">
        <f>C57-C60</f>
        <v>325</v>
      </c>
      <c r="D61" s="10">
        <f>D57-D60</f>
        <v>325</v>
      </c>
      <c r="E61" s="10">
        <f>E57-E60</f>
        <v>325</v>
      </c>
      <c r="F61" s="10">
        <f>F57-F60</f>
        <v>325</v>
      </c>
      <c r="G61" s="10">
        <f>G57-G60</f>
        <v>325</v>
      </c>
      <c r="H61" s="10">
        <f>H57-H60</f>
        <v>325</v>
      </c>
      <c r="I61" s="10">
        <f>I57-I60</f>
        <v>325</v>
      </c>
      <c r="J61" s="10"/>
      <c r="K61" s="10">
        <f>K57-K60</f>
        <v>325</v>
      </c>
      <c r="L61" s="10">
        <f>L57-L60</f>
        <v>325</v>
      </c>
      <c r="M61" s="10">
        <f>M57-M60</f>
        <v>325</v>
      </c>
      <c r="N61" s="10">
        <f>N57-N60</f>
        <v>325</v>
      </c>
      <c r="O61" s="10">
        <f>O57-O60</f>
        <v>325</v>
      </c>
      <c r="P61" s="10">
        <f>P57-P60</f>
        <v>325</v>
      </c>
      <c r="Q61" s="10">
        <f>Q57-Q60</f>
        <v>325</v>
      </c>
      <c r="S61" s="10">
        <f>S57-S60</f>
        <v>325</v>
      </c>
      <c r="T61" s="10">
        <f>T57-T60</f>
        <v>318.02215470384675</v>
      </c>
      <c r="U61" s="10">
        <f>U57-U60</f>
        <v>323.73501816027226</v>
      </c>
      <c r="V61" s="10">
        <f>V57-V60</f>
        <v>319.22570653030186</v>
      </c>
      <c r="W61" s="10">
        <f>W57-W60</f>
        <v>325</v>
      </c>
      <c r="X61" s="10">
        <f>X57-X60</f>
        <v>325</v>
      </c>
      <c r="Y61" s="10">
        <f>Y57-Y60</f>
        <v>325</v>
      </c>
    </row>
    <row r="62">
      <c r="B62" t="s" s="9">
        <v>265</v>
      </c>
      <c r="C62" s="10"/>
      <c r="D62" s="10">
        <f>'Term Sheet'!$C$14*AVERAGE(D58,D60)*D32*D7</f>
        <v>0</v>
      </c>
      <c r="E62" s="10">
        <f>'Term Sheet'!$C$14*AVERAGE(E58,E60)*E32*E7</f>
        <v>0</v>
      </c>
      <c r="F62" s="10">
        <f>'Term Sheet'!$C$14*AVERAGE(F58,F60)*F32*F7</f>
        <v>0</v>
      </c>
      <c r="G62" s="10">
        <f>'Term Sheet'!$C$14*AVERAGE(G58,G60)*G32*G7</f>
        <v>0</v>
      </c>
      <c r="H62" s="10">
        <f>'Term Sheet'!$C$14*AVERAGE(H58,H60)*H32*H7</f>
        <v>0</v>
      </c>
      <c r="I62" s="10">
        <f>'Term Sheet'!$C$14*AVERAGE(I58,I60)*I32*I7</f>
        <v>0</v>
      </c>
      <c r="J62" s="10"/>
      <c r="K62" s="10"/>
      <c r="L62" s="10">
        <f>'Term Sheet'!$C$14*AVERAGE(L58,L60)*L32*L7</f>
        <v>0</v>
      </c>
      <c r="M62" s="10">
        <f>'Term Sheet'!$C$14*AVERAGE(M58,M60)*M32*M7</f>
        <v>0</v>
      </c>
      <c r="N62" s="10">
        <f>'Term Sheet'!$C$14*AVERAGE(N58,N60)*N32*N7</f>
        <v>0</v>
      </c>
      <c r="O62" s="10">
        <f>'Term Sheet'!$C$14*AVERAGE(O58,O60)*O32*O7</f>
        <v>0</v>
      </c>
      <c r="P62" s="10">
        <f>'Term Sheet'!$C$14*AVERAGE(P58,P60)*P32*P7</f>
        <v>0</v>
      </c>
      <c r="Q62" s="10">
        <f>'Term Sheet'!$C$14*AVERAGE(Q58,Q60)*Q32*Q7</f>
        <v>0</v>
      </c>
      <c r="S62" s="10"/>
      <c r="T62" s="10">
        <f>'Term Sheet'!$C$14*AVERAGE(T58,T60)*T32*T7</f>
        <v>0.15045833389124302</v>
      </c>
      <c r="U62" s="10">
        <f>'Term Sheet'!$C$14*AVERAGE(U58,U60)*U32*U7</f>
        <v>0.37114949115811857</v>
      </c>
      <c r="V62" s="10">
        <f>'Term Sheet'!$C$14*AVERAGE(V58,V60)*V32*V7</f>
        <v>0.3202321197044784</v>
      </c>
      <c r="W62" s="10">
        <f>'Term Sheet'!$C$14*AVERAGE(W58,W60)*W32*W7</f>
        <v>0.2522654525821077</v>
      </c>
      <c r="X62" s="10">
        <f>'Term Sheet'!$C$14*AVERAGE(X58,X60)*X32*X7</f>
        <v>0</v>
      </c>
      <c r="Y62" s="10">
        <f>'Term Sheet'!$C$14*AVERAGE(Y58,Y60)*Y32*Y7</f>
        <v>0</v>
      </c>
    </row>
    <row r="63">
      <c r="B63" t="s" s="9">
        <v>266</v>
      </c>
      <c r="C63" s="10"/>
      <c r="D63" s="10">
        <f>'Term Sheet'!$C$14*(D57-AVERAGE(D58,D60))*D33*D7</f>
        <v>0.8414383561643836</v>
      </c>
      <c r="E63" s="10">
        <f>'Term Sheet'!$C$14*(E57-AVERAGE(E58,E60))*E33*E7</f>
        <v>1.625</v>
      </c>
      <c r="F63" s="10">
        <f>'Term Sheet'!$C$14*(F57-AVERAGE(F58,F60))*F33*F7</f>
        <v>0.8124999999999999</v>
      </c>
      <c r="G63" s="10">
        <f>'Term Sheet'!$C$14*(G57-AVERAGE(G58,G60))*G33*G7</f>
        <v>0.8124999999999999</v>
      </c>
      <c r="H63" s="10">
        <f>'Term Sheet'!$C$14*(H57-AVERAGE(H58,H60))*H33*H7</f>
        <v>0.8124999999999999</v>
      </c>
      <c r="I63" s="10">
        <f>'Term Sheet'!$C$14*(I57-AVERAGE(I58,I60))*I33*I7</f>
        <v>0.8124999999999999</v>
      </c>
      <c r="J63" s="10"/>
      <c r="K63" s="10"/>
      <c r="L63" s="10">
        <f>'Term Sheet'!$C$14*(L57-AVERAGE(L58,L60))*L33*L7</f>
        <v>0.8414383561643836</v>
      </c>
      <c r="M63" s="10">
        <f>'Term Sheet'!$C$14*(M57-AVERAGE(M58,M60))*M33*M7</f>
        <v>1.625</v>
      </c>
      <c r="N63" s="10">
        <f>'Term Sheet'!$C$14*(N57-AVERAGE(N58,N60))*N33*N7</f>
        <v>0.8124999999999999</v>
      </c>
      <c r="O63" s="10">
        <f>'Term Sheet'!$C$14*(O57-AVERAGE(O58,O60))*O33*O7</f>
        <v>0.8124999999999999</v>
      </c>
      <c r="P63" s="10">
        <f>'Term Sheet'!$C$14*(P57-AVERAGE(P58,P60))*P33*P7</f>
        <v>0.8124999999999999</v>
      </c>
      <c r="Q63" s="10">
        <f>'Term Sheet'!$C$14*(Q57-AVERAGE(Q58,Q60))*Q33*Q7</f>
        <v>0.8124999999999999</v>
      </c>
      <c r="S63" s="10"/>
      <c r="T63" s="10">
        <f>'Term Sheet'!$C$14*(T57-AVERAGE(T58,T60))*T33*T7</f>
        <v>0.8324053920481304</v>
      </c>
      <c r="U63" s="10">
        <f>'Term Sheet'!$C$14*(U57-AVERAGE(U58,U60))*U33*U7</f>
        <v>1.6043929321602974</v>
      </c>
      <c r="V63" s="10">
        <f>'Term Sheet'!$C$14*(V57-AVERAGE(V58,V60))*V33*V7</f>
        <v>1.6074018117264353</v>
      </c>
      <c r="W63" s="10">
        <f>'Term Sheet'!$C$14*(W57-AVERAGE(W58,W60))*W33*W7</f>
        <v>0.8052821331628772</v>
      </c>
      <c r="X63" s="10">
        <f>'Term Sheet'!$C$14*(X57-AVERAGE(X58,X60))*X33*X7</f>
        <v>0.8124999999999999</v>
      </c>
      <c r="Y63" s="10">
        <f>'Term Sheet'!$C$14*(Y57-AVERAGE(Y58,Y60))*Y33*Y7</f>
        <v>0.8124999999999999</v>
      </c>
    </row>
    <row r="64">
      <c r="S64"/>
      <c r="T64"/>
      <c r="U64"/>
      <c r="V64"/>
      <c r="W64"/>
      <c r="X64"/>
      <c r="Y64"/>
    </row>
    <row r="65">
      <c r="B65" t="s" s="34">
        <v>267</v>
      </c>
      <c r="C65" s="34"/>
      <c r="D65" s="34"/>
      <c r="E65" s="34"/>
      <c r="F65" s="34"/>
      <c r="G65" s="34"/>
      <c r="H65" s="34"/>
      <c r="I65" s="34"/>
      <c r="J65" s="34"/>
      <c r="K65" s="34"/>
      <c r="L65" s="34"/>
      <c r="M65" s="34"/>
      <c r="N65" s="34"/>
      <c r="O65" s="34"/>
      <c r="P65" s="34"/>
      <c r="Q65" s="34"/>
      <c r="R65" s="34"/>
      <c r="S65" s="34"/>
      <c r="T65" s="34"/>
      <c r="U65" s="34"/>
      <c r="V65" s="34"/>
      <c r="W65" s="34"/>
      <c r="X65" s="34"/>
      <c r="Y65" s="34"/>
    </row>
    <row r="66">
      <c r="B66" t="s" s="9">
        <v>261</v>
      </c>
      <c r="C66" s="10"/>
      <c r="D66" s="10">
        <f>C71</f>
        <v>2700</v>
      </c>
      <c r="E66" s="10">
        <f>D71</f>
        <v>2735.179759401606</v>
      </c>
      <c r="F66" s="10">
        <f>E71</f>
        <v>2760.7215306107037</v>
      </c>
      <c r="G66" s="10">
        <f>F71</f>
        <v>2738.709451334388</v>
      </c>
      <c r="H66" s="10">
        <f>G71</f>
        <v>2653.4760852895683</v>
      </c>
      <c r="I66" s="10">
        <f>H71</f>
        <v>2510.8059791345954</v>
      </c>
      <c r="J66" s="10"/>
      <c r="K66" s="10"/>
      <c r="L66" s="10">
        <f>K71</f>
        <v>2700</v>
      </c>
      <c r="M66" s="10">
        <f>L71</f>
        <v>2735.179759401606</v>
      </c>
      <c r="N66" s="10">
        <f>M71</f>
        <v>2722.0663515034125</v>
      </c>
      <c r="O66" s="10">
        <f>N71</f>
        <v>2610.5551993024296</v>
      </c>
      <c r="P66" s="10">
        <f>O71</f>
        <v>2364.7709390795653</v>
      </c>
      <c r="Q66" s="10">
        <f>P71</f>
        <v>1970.1437018443035</v>
      </c>
      <c r="S66" s="10"/>
      <c r="T66" s="10">
        <f>S71</f>
        <v>2700</v>
      </c>
      <c r="U66" s="10">
        <f>T71</f>
        <v>2735.179759401606</v>
      </c>
      <c r="V66" s="10">
        <f>U71</f>
        <v>2804.424816601647</v>
      </c>
      <c r="W66" s="10">
        <f>V71</f>
        <v>2838.536983219418</v>
      </c>
      <c r="X66" s="10">
        <f>W71</f>
        <v>2834.468081263124</v>
      </c>
      <c r="Y66" s="10">
        <f>X71</f>
        <v>2793.850874999781</v>
      </c>
    </row>
    <row r="67">
      <c r="B67" t="s" s="9">
        <v>268</v>
      </c>
      <c r="C67" s="10"/>
      <c r="D67" s="10">
        <f>'Term Sheet'!$C$14*AVERAGE(D66,D71)*D31*D7</f>
        <v>35.17975940160628</v>
      </c>
      <c r="E67" s="10">
        <f>'Term Sheet'!$C$14*AVERAGE(E66,E71)*E31*E7</f>
        <v>68.69876612515387</v>
      </c>
      <c r="F67" s="10">
        <f>'Term Sheet'!$C$14*AVERAGE(F66,F71)*F31*F7</f>
        <v>31.58228550594491</v>
      </c>
      <c r="G67" s="10">
        <f>'Term Sheet'!$C$14*AVERAGE(G66,G71)*G31*G7</f>
        <v>0</v>
      </c>
      <c r="H67" s="10">
        <f>'Term Sheet'!$C$14*AVERAGE(H66,H71)*H31*H7</f>
        <v>0</v>
      </c>
      <c r="I67" s="10">
        <f>'Term Sheet'!$C$14*AVERAGE(I66,I71)*I31*I7</f>
        <v>0</v>
      </c>
      <c r="J67" s="10"/>
      <c r="K67" s="10"/>
      <c r="L67" s="10">
        <f>'Term Sheet'!$C$14*AVERAGE(L66,L71)*L31*L7</f>
        <v>35.17975940160628</v>
      </c>
      <c r="M67" s="10">
        <f>'Term Sheet'!$C$14*AVERAGE(M66,M71)*M31*M7</f>
        <v>68.21557638631272</v>
      </c>
      <c r="N67" s="10">
        <f>'Term Sheet'!$C$14*AVERAGE(N66,N71)*N31*N7</f>
        <v>30.624327656011</v>
      </c>
      <c r="O67" s="10">
        <f>'Term Sheet'!$C$14*AVERAGE(O66,O71)*O31*O7</f>
        <v>0</v>
      </c>
      <c r="P67" s="10">
        <f>'Term Sheet'!$C$14*AVERAGE(P66,P71)*P31*P7</f>
        <v>0</v>
      </c>
      <c r="Q67" s="10">
        <f>'Term Sheet'!$C$14*AVERAGE(Q66,Q71)*Q31*Q7</f>
        <v>0</v>
      </c>
      <c r="S67" s="10"/>
      <c r="T67" s="10">
        <f>'Term Sheet'!$C$14*AVERAGE(T66,T71)*T31*T7</f>
        <v>35.17975940160628</v>
      </c>
      <c r="U67" s="10">
        <f>'Term Sheet'!$C$14*AVERAGE(U66,U71)*U31*U7</f>
        <v>69.24505720004066</v>
      </c>
      <c r="V67" s="10">
        <f>'Term Sheet'!$C$14*AVERAGE(V66,V71)*V31*V7</f>
        <v>34.11216661777078</v>
      </c>
      <c r="W67" s="10">
        <f>'Term Sheet'!$C$14*AVERAGE(W66,W71)*W31*W7</f>
        <v>0</v>
      </c>
      <c r="X67" s="10">
        <f>'Term Sheet'!$C$14*AVERAGE(X66,X71)*X31*X7</f>
        <v>0</v>
      </c>
      <c r="Y67" s="10">
        <f>'Term Sheet'!$C$14*AVERAGE(Y66,Y71)*Y31*Y7</f>
        <v>0</v>
      </c>
    </row>
    <row r="68">
      <c r="B68" t="s" s="9">
        <v>247</v>
      </c>
      <c r="C68" s="10"/>
      <c r="D68" s="10">
        <f>-MIN('Term Sheet'!$C$36*'Term Sheet'!$C$17*D7,D66)</f>
        <v>0</v>
      </c>
      <c r="E68" s="10">
        <f>-MIN('Term Sheet'!$C$36*'Term Sheet'!$C$17*E7,E66)</f>
        <v>0</v>
      </c>
      <c r="F68" s="10">
        <f>-MIN('Term Sheet'!$C$36*'Term Sheet'!$C$17*F7,F66)</f>
        <v>0</v>
      </c>
      <c r="G68" s="10">
        <f>-MIN('Term Sheet'!$C$36*'Term Sheet'!$C$17*G7,G66)</f>
        <v>0</v>
      </c>
      <c r="H68" s="10">
        <f>-MIN('Term Sheet'!$C$36*'Term Sheet'!$C$17*H7,H66)</f>
        <v>0</v>
      </c>
      <c r="I68" s="10">
        <f>-MIN('Term Sheet'!$C$36*'Term Sheet'!$C$17*I7,I66)</f>
        <v>0</v>
      </c>
      <c r="J68" s="10"/>
      <c r="K68" s="10"/>
      <c r="L68" s="10">
        <f>-MIN('Term Sheet'!$C$36*'Term Sheet'!$C$17*L7,L66)</f>
        <v>0</v>
      </c>
      <c r="M68" s="10">
        <f>-MIN('Term Sheet'!$C$36*'Term Sheet'!$C$17*M7,M66)</f>
        <v>0</v>
      </c>
      <c r="N68" s="10">
        <f>-MIN('Term Sheet'!$C$36*'Term Sheet'!$C$17*N7,N66)</f>
        <v>0</v>
      </c>
      <c r="O68" s="10">
        <f>-MIN('Term Sheet'!$C$36*'Term Sheet'!$C$17*O7,O66)</f>
        <v>0</v>
      </c>
      <c r="P68" s="10">
        <f>-MIN('Term Sheet'!$C$36*'Term Sheet'!$C$17*P7,P66)</f>
        <v>0</v>
      </c>
      <c r="Q68" s="10">
        <f>-MIN('Term Sheet'!$C$36*'Term Sheet'!$C$17*Q7,Q66)</f>
        <v>0</v>
      </c>
      <c r="S68" s="10"/>
      <c r="T68" s="10">
        <f>-MIN('Term Sheet'!$C$36*'Term Sheet'!$C$17*T7,T66)</f>
        <v>0</v>
      </c>
      <c r="U68" s="10">
        <f>-MIN('Term Sheet'!$C$36*'Term Sheet'!$C$17*U7,U66)</f>
        <v>0</v>
      </c>
      <c r="V68" s="10">
        <f>-MIN('Term Sheet'!$C$36*'Term Sheet'!$C$17*V7,V66)</f>
        <v>0</v>
      </c>
      <c r="W68" s="10">
        <f>-MIN('Term Sheet'!$C$36*'Term Sheet'!$C$17*W7,W66)</f>
        <v>0</v>
      </c>
      <c r="X68" s="10">
        <f>-MIN('Term Sheet'!$C$36*'Term Sheet'!$C$17*X7,X66)</f>
        <v>0</v>
      </c>
      <c r="Y68" s="10">
        <f>-MIN('Term Sheet'!$C$36*'Term Sheet'!$C$17*Y7,Y66)</f>
        <v>0</v>
      </c>
    </row>
    <row r="69">
      <c r="B69" t="s" s="9">
        <v>257</v>
      </c>
      <c r="C69" s="10"/>
      <c r="D69" s="10">
        <f>-MIN(-D52,D66+D67+D68)</f>
        <v>0</v>
      </c>
      <c r="E69" s="10">
        <f>-MIN(-E52,E66+E67+E68)</f>
        <v>0</v>
      </c>
      <c r="F69" s="10">
        <f>-MIN(-F52,F66+F67+F68)</f>
        <v>0</v>
      </c>
      <c r="G69" s="10">
        <f>-MIN(-G52,G66+G67+G68)</f>
        <v>0</v>
      </c>
      <c r="H69" s="10">
        <f>-MIN(-H52,H66+H67+H68)</f>
        <v>0</v>
      </c>
      <c r="I69" s="10">
        <f>-MIN(-I52,I66+I67+I68)</f>
        <v>0</v>
      </c>
      <c r="J69" s="10"/>
      <c r="K69" s="10"/>
      <c r="L69" s="10">
        <f>-MIN(-L52,L66+L67+L68)</f>
        <v>0</v>
      </c>
      <c r="M69" s="10">
        <f>-MIN(-M52,M66+M67+M68)</f>
        <v>0</v>
      </c>
      <c r="N69" s="10">
        <f>-MIN(-N52,N66+N67+N68)</f>
        <v>0</v>
      </c>
      <c r="O69" s="10">
        <f>-MIN(-O52,O66+O67+O68)</f>
        <v>0</v>
      </c>
      <c r="P69" s="10">
        <f>-MIN(-P52,P66+P67+P68)</f>
        <v>0</v>
      </c>
      <c r="Q69" s="10">
        <f>-MIN(-Q52,Q66+Q67+Q68)</f>
        <v>0</v>
      </c>
      <c r="S69" s="10"/>
      <c r="T69" s="10">
        <f>-MIN(-T52,T66+T67+T68)</f>
        <v>0</v>
      </c>
      <c r="U69" s="10">
        <f>-MIN(-U52,U66+U67+U68)</f>
        <v>0</v>
      </c>
      <c r="V69" s="10">
        <f>-MIN(-V52,V66+V67+V68)</f>
        <v>0</v>
      </c>
      <c r="W69" s="10">
        <f>-MIN(-W52,W66+W67+W68)</f>
        <v>0</v>
      </c>
      <c r="X69" s="10">
        <f>-MIN(-X52,X66+X67+X68)</f>
        <v>0</v>
      </c>
      <c r="Y69" s="10">
        <f>-MIN(-Y52,Y66+Y67+Y68)</f>
        <v>0</v>
      </c>
    </row>
    <row r="70">
      <c r="B70" t="s" s="9">
        <v>269</v>
      </c>
      <c r="C70" s="10"/>
      <c r="D70" s="10">
        <f>-MIN(-D53,D66+D67+D68+D69)</f>
        <v>0</v>
      </c>
      <c r="E70" s="10">
        <f>-MIN(-E53,E66+E67+E68+E69)</f>
        <v>-43.15699491605624</v>
      </c>
      <c r="F70" s="10">
        <f>-MIN(-F53,F66+F67+F68+F69)</f>
        <v>-53.594364782260534</v>
      </c>
      <c r="G70" s="10">
        <f>-MIN(-G53,G66+G67+G68+G69)</f>
        <v>-85.2333660448197</v>
      </c>
      <c r="H70" s="10">
        <f>-MIN(-H53,H66+H67+H68+H69)</f>
        <v>-142.67010615497293</v>
      </c>
      <c r="I70" s="10">
        <f>-MIN(-I53,I66+I67+I68+I69)</f>
        <v>-206.74172243941862</v>
      </c>
      <c r="J70" s="10"/>
      <c r="K70" s="10"/>
      <c r="L70" s="10">
        <f>-MIN(-L53,L66+L67+L68+L69)</f>
        <v>0</v>
      </c>
      <c r="M70" s="10">
        <f>-MIN(-M53,M66+M67+M68+M69)</f>
        <v>-81.3289842845066</v>
      </c>
      <c r="N70" s="10">
        <f>-MIN(-N53,N66+N67+N68+N69)</f>
        <v>-142.13547985699378</v>
      </c>
      <c r="O70" s="10">
        <f>-MIN(-O53,O66+O67+O68+O69)</f>
        <v>-245.78426022286436</v>
      </c>
      <c r="P70" s="10">
        <f>-MIN(-P53,P66+P67+P68+P69)</f>
        <v>-394.62723723526176</v>
      </c>
      <c r="Q70" s="10">
        <f>-MIN(-Q53,Q66+Q67+Q68+Q69)</f>
        <v>-558.1052535200292</v>
      </c>
      <c r="S70" s="10"/>
      <c r="T70" s="10">
        <f>-MIN(-T53,T66+T67+T68+T69)</f>
        <v>0</v>
      </c>
      <c r="U70" s="10">
        <f>-MIN(-U53,U66+U67+U68+U69)</f>
        <v>0</v>
      </c>
      <c r="V70" s="10">
        <f>-MIN(-V53,V66+V67+V68+V69)</f>
        <v>0</v>
      </c>
      <c r="W70" s="10">
        <f>-MIN(-W53,W66+W67+W68+W69)</f>
        <v>-4.068901956294103</v>
      </c>
      <c r="X70" s="10">
        <f>-MIN(-X53,X66+X67+X68+X69)</f>
        <v>-40.61720626334659</v>
      </c>
      <c r="Y70" s="10">
        <f>-MIN(-Y53,Y66+Y67+Y68+Y69)</f>
        <v>-72.71028851834916</v>
      </c>
    </row>
    <row r="71">
      <c r="B71" t="s" s="41">
        <v>263</v>
      </c>
      <c r="C71" s="46">
        <f>'Term Sheet'!$C$17</f>
        <v>2700</v>
      </c>
      <c r="D71" s="42">
        <f>SUM(D66:D70)</f>
        <v>2735.179759401606</v>
      </c>
      <c r="E71" s="42">
        <f>SUM(E66:E70)</f>
        <v>2760.7215306107037</v>
      </c>
      <c r="F71" s="42">
        <f>SUM(F66:F70)</f>
        <v>2738.709451334388</v>
      </c>
      <c r="G71" s="42">
        <f>SUM(G66:G70)</f>
        <v>2653.4760852895683</v>
      </c>
      <c r="H71" s="42">
        <f>SUM(H66:H70)</f>
        <v>2510.8059791345954</v>
      </c>
      <c r="I71" s="42">
        <f>SUM(I66:I70)</f>
        <v>2304.064256695177</v>
      </c>
      <c r="J71" s="10"/>
      <c r="K71" s="46">
        <f>'Term Sheet'!$C$17</f>
        <v>2700</v>
      </c>
      <c r="L71" s="42">
        <f>SUM(L66:L70)</f>
        <v>2735.179759401606</v>
      </c>
      <c r="M71" s="42">
        <f>SUM(M66:M70)</f>
        <v>2722.0663515034125</v>
      </c>
      <c r="N71" s="42">
        <f>SUM(N66:N70)</f>
        <v>2610.5551993024296</v>
      </c>
      <c r="O71" s="42">
        <f>SUM(O66:O70)</f>
        <v>2364.7709390795653</v>
      </c>
      <c r="P71" s="42">
        <f>SUM(P66:P70)</f>
        <v>1970.1437018443035</v>
      </c>
      <c r="Q71" s="42">
        <f>SUM(Q66:Q70)</f>
        <v>1412.0384483242742</v>
      </c>
      <c r="S71" s="46">
        <f>'Term Sheet'!$C$17</f>
        <v>2700</v>
      </c>
      <c r="T71" s="42">
        <f>SUM(T66:T70)</f>
        <v>2735.179759401606</v>
      </c>
      <c r="U71" s="42">
        <f>SUM(U66:U70)</f>
        <v>2804.424816601647</v>
      </c>
      <c r="V71" s="42">
        <f>SUM(V66:V70)</f>
        <v>2838.536983219418</v>
      </c>
      <c r="W71" s="42">
        <f>SUM(W66:W70)</f>
        <v>2834.4680812631236</v>
      </c>
      <c r="X71" s="42">
        <f>SUM(X66:X70)</f>
        <v>2793.8508749997773</v>
      </c>
      <c r="Y71" s="42">
        <f>SUM(Y66:Y70)</f>
        <v>2721.140586481432</v>
      </c>
    </row>
    <row r="72">
      <c r="B72" t="s" s="9">
        <v>270</v>
      </c>
      <c r="C72" s="10"/>
      <c r="D72" s="10">
        <f>AVERAGE(D66,D71)</f>
        <v>2717.589879700803</v>
      </c>
      <c r="E72" s="10">
        <f>AVERAGE(E66,E71)</f>
        <v>2747.950645006155</v>
      </c>
      <c r="F72" s="10">
        <f>AVERAGE(F66,F71)</f>
        <v>2749.715490972546</v>
      </c>
      <c r="G72" s="10">
        <f>AVERAGE(G66,G71)</f>
        <v>2696.092768311978</v>
      </c>
      <c r="H72" s="10">
        <f>AVERAGE(H66,H71)</f>
        <v>2582.141032212082</v>
      </c>
      <c r="I72" s="10">
        <f>AVERAGE(I66,I71)</f>
        <v>2407.435117914886</v>
      </c>
      <c r="J72" s="10"/>
      <c r="K72" s="10"/>
      <c r="L72" s="10">
        <f>AVERAGE(L66,L71)</f>
        <v>2717.589879700803</v>
      </c>
      <c r="M72" s="10">
        <f>AVERAGE(M66,M71)</f>
        <v>2728.623055452509</v>
      </c>
      <c r="N72" s="10">
        <f>AVERAGE(N66,N71)</f>
        <v>2666.310775402921</v>
      </c>
      <c r="O72" s="10">
        <f>AVERAGE(O66,O71)</f>
        <v>2487.6630691909977</v>
      </c>
      <c r="P72" s="10">
        <f>AVERAGE(P66,P71)</f>
        <v>2167.4573204619346</v>
      </c>
      <c r="Q72" s="10">
        <f>AVERAGE(Q66,Q71)</f>
        <v>1691.0910750842888</v>
      </c>
      <c r="S72" s="10"/>
      <c r="T72" s="10">
        <f>AVERAGE(T66,T71)</f>
        <v>2717.589879700803</v>
      </c>
      <c r="U72" s="10">
        <f>AVERAGE(U66,U71)</f>
        <v>2769.8022880016265</v>
      </c>
      <c r="V72" s="10">
        <f>AVERAGE(V66,V71)</f>
        <v>2821.4808999105326</v>
      </c>
      <c r="W72" s="10">
        <f>AVERAGE(W66,W71)</f>
        <v>2836.5025322412707</v>
      </c>
      <c r="X72" s="10">
        <f>AVERAGE(X66,X71)</f>
        <v>2814.1594781314507</v>
      </c>
      <c r="Y72" s="10">
        <f>AVERAGE(Y66,Y71)</f>
        <v>2757.4957307406066</v>
      </c>
    </row>
    <row r="73">
      <c r="B73" t="s" s="9">
        <v>271</v>
      </c>
      <c r="C73" s="10"/>
      <c r="D73" s="10">
        <f>'Term Sheet'!$C$14*D72*D30*D7</f>
        <v>85.53314653360448</v>
      </c>
      <c r="E73" s="10">
        <f>'Term Sheet'!$C$14*E72*E30*E7</f>
        <v>185.63486698955387</v>
      </c>
      <c r="F73" s="10">
        <f>'Term Sheet'!$C$14*F72*F30*F7</f>
        <v>215.04909057764908</v>
      </c>
      <c r="G73" s="10">
        <f>'Term Sheet'!$C$14*G72*G30*G7</f>
        <v>235.5720456435771</v>
      </c>
      <c r="H73" s="10">
        <f>'Term Sheet'!$C$14*H72*H30*H7</f>
        <v>223.79936090868486</v>
      </c>
      <c r="I73" s="10">
        <f>'Term Sheet'!$C$14*I72*I30*I7</f>
        <v>208.43157088217347</v>
      </c>
      <c r="J73" s="10"/>
      <c r="K73" s="10"/>
      <c r="L73" s="10">
        <f>'Term Sheet'!$C$14*L72*L30*L7</f>
        <v>85.53314653360448</v>
      </c>
      <c r="M73" s="10">
        <f>'Term Sheet'!$C$14*M72*M30*M7</f>
        <v>184.3292123474154</v>
      </c>
      <c r="N73" s="10">
        <f>'Term Sheet'!$C$14*N72*N30*N7</f>
        <v>208.52619455730792</v>
      </c>
      <c r="O73" s="10">
        <f>'Term Sheet'!$C$14*O72*O30*O7</f>
        <v>217.3604280123536</v>
      </c>
      <c r="P73" s="10">
        <f>'Term Sheet'!$C$14*P72*P30*P7</f>
        <v>187.8578888855945</v>
      </c>
      <c r="Q73" s="10">
        <f>'Term Sheet'!$C$14*Q72*Q30*Q7</f>
        <v>146.41174196624956</v>
      </c>
      <c r="S73" s="10"/>
      <c r="T73" s="10">
        <f>'Term Sheet'!$C$14*T72*T30*T7</f>
        <v>85.53314653360448</v>
      </c>
      <c r="U73" s="10">
        <f>'Term Sheet'!$C$14*U72*U30*U7</f>
        <v>187.11103136257103</v>
      </c>
      <c r="V73" s="10">
        <f>'Term Sheet'!$C$14*V72*V30*V7</f>
        <v>226.00979641137488</v>
      </c>
      <c r="W73" s="10">
        <f>'Term Sheet'!$C$14*W72*W30*W7</f>
        <v>247.84039772178267</v>
      </c>
      <c r="X73" s="10">
        <f>'Term Sheet'!$C$14*X72*X30*X7</f>
        <v>243.90886665140457</v>
      </c>
      <c r="Y73" s="10">
        <f>'Term Sheet'!$C$14*Y72*Y30*Y7</f>
        <v>238.73921360628398</v>
      </c>
    </row>
    <row r="74">
      <c r="S74"/>
      <c r="T74"/>
      <c r="U74"/>
      <c r="V74"/>
      <c r="W74"/>
      <c r="X74"/>
      <c r="Y74"/>
    </row>
    <row r="75">
      <c r="B75" t="s" s="34">
        <v>272</v>
      </c>
      <c r="C75" s="34"/>
      <c r="D75" s="34"/>
      <c r="E75" s="34"/>
      <c r="F75" s="34"/>
      <c r="G75" s="34"/>
      <c r="H75" s="34"/>
      <c r="I75" s="34"/>
      <c r="J75" s="34"/>
      <c r="K75" s="34"/>
      <c r="L75" s="34"/>
      <c r="M75" s="34"/>
      <c r="N75" s="34"/>
      <c r="O75" s="34"/>
      <c r="P75" s="34"/>
      <c r="Q75" s="34"/>
      <c r="R75" s="34"/>
      <c r="S75" s="34"/>
      <c r="T75" s="34"/>
      <c r="U75" s="34"/>
      <c r="V75" s="34"/>
      <c r="W75" s="34"/>
      <c r="X75" s="34"/>
      <c r="Y75" s="34"/>
    </row>
    <row r="76">
      <c r="B76" t="s" s="9">
        <v>261</v>
      </c>
      <c r="C76" s="10"/>
      <c r="D76" s="10">
        <f>IF(C83=0,0,C82)</f>
        <v>0</v>
      </c>
      <c r="E76" s="10">
        <f>IF(D83=0,0,D82)</f>
        <v>0</v>
      </c>
      <c r="F76" s="10">
        <f>IF(E83=0,0,E82)</f>
        <v>0</v>
      </c>
      <c r="G76" s="10">
        <f>IF(F83=0,0,F82)</f>
        <v>0</v>
      </c>
      <c r="H76" s="10">
        <f>IF(G83=0,0,G82)</f>
        <v>0</v>
      </c>
      <c r="I76" s="10">
        <f>IF(H83=0,0,H82)</f>
        <v>0</v>
      </c>
      <c r="J76" s="10"/>
      <c r="K76" s="10"/>
      <c r="L76" s="10">
        <f>IF(K83=0,0,K82)</f>
        <v>0</v>
      </c>
      <c r="M76" s="10">
        <f>IF(L83=0,0,L82)</f>
        <v>0</v>
      </c>
      <c r="N76" s="10">
        <f>IF(M83=0,0,M82)</f>
        <v>0</v>
      </c>
      <c r="O76" s="10">
        <f>IF(N83=0,0,N82)</f>
        <v>0</v>
      </c>
      <c r="P76" s="10">
        <f>IF(O83=0,0,O82)</f>
        <v>0</v>
      </c>
      <c r="Q76" s="10">
        <f>IF(P83=0,0,P82)</f>
        <v>0</v>
      </c>
      <c r="S76" s="10"/>
      <c r="T76" s="10">
        <f>IF(S83=0,0,S82)</f>
        <v>0</v>
      </c>
      <c r="U76" s="10">
        <f>IF(T83=0,0,T82)</f>
        <v>0</v>
      </c>
      <c r="V76" s="10">
        <f>IF(U83=0,0,U82)</f>
        <v>0</v>
      </c>
      <c r="W76" s="10">
        <f>IF(V83=0,0,V82)</f>
        <v>0</v>
      </c>
      <c r="X76" s="10">
        <f>IF(W83=0,0,W82)</f>
        <v>0</v>
      </c>
      <c r="Y76" s="10">
        <f>IF(X83=0,0,X82)</f>
        <v>0</v>
      </c>
    </row>
    <row r="77">
      <c r="B77" t="s" s="9">
        <v>273</v>
      </c>
      <c r="C77" s="10"/>
      <c r="D77" s="10">
        <f>IF(YEAR(D$6)=YEAR(Scenarios!$C$21),Scenarios!$C$17*MIN(Scenarios!$C$22,'Term Sheet'!$C$54-C83),0)</f>
        <v>0</v>
      </c>
      <c r="E77" s="10">
        <f>IF(YEAR(E$6)=YEAR(Scenarios!$C$21),Scenarios!$C$17*MIN(Scenarios!$C$22,'Term Sheet'!$C$54-D83),0)</f>
        <v>0</v>
      </c>
      <c r="F77" s="10">
        <f>IF(YEAR(F$6)=YEAR(Scenarios!$C$21),Scenarios!$C$17*MIN(Scenarios!$C$22,'Term Sheet'!$C$54-E83),0)</f>
        <v>0</v>
      </c>
      <c r="G77" s="10">
        <f>IF(YEAR(G$6)=YEAR(Scenarios!$C$21),Scenarios!$C$17*MIN(Scenarios!$C$22,'Term Sheet'!$C$54-F83),0)</f>
        <v>0</v>
      </c>
      <c r="H77" s="10">
        <f>IF(YEAR(H$6)=YEAR(Scenarios!$C$21),Scenarios!$C$17*MIN(Scenarios!$C$22,'Term Sheet'!$C$54-G83),0)</f>
        <v>0</v>
      </c>
      <c r="I77" s="10">
        <f>IF(YEAR(I$6)=YEAR(Scenarios!$C$21),Scenarios!$C$17*MIN(Scenarios!$C$22,'Term Sheet'!$C$54-H83),0)</f>
        <v>0</v>
      </c>
      <c r="J77" s="10"/>
      <c r="K77" s="10"/>
      <c r="L77" s="10">
        <f>IF(YEAR(L$6)=YEAR(Scenarios!$C$21),Scenarios!$C$17*MIN(Scenarios!$C$22,'Term Sheet'!$C$54-K83),0)</f>
        <v>0</v>
      </c>
      <c r="M77" s="10">
        <f>IF(YEAR(M$6)=YEAR(Scenarios!$C$21),Scenarios!$C$17*MIN(Scenarios!$C$22,'Term Sheet'!$C$54-L83),0)</f>
        <v>0</v>
      </c>
      <c r="N77" s="10">
        <f>IF(YEAR(N$6)=YEAR(Scenarios!$C$21),Scenarios!$C$17*MIN(Scenarios!$C$22,'Term Sheet'!$C$54-M83),0)</f>
        <v>0</v>
      </c>
      <c r="O77" s="10">
        <f>IF(YEAR(O$6)=YEAR(Scenarios!$C$21),Scenarios!$C$17*MIN(Scenarios!$C$22,'Term Sheet'!$C$54-N83),0)</f>
        <v>0</v>
      </c>
      <c r="P77" s="10">
        <f>IF(YEAR(P$6)=YEAR(Scenarios!$C$21),Scenarios!$C$17*MIN(Scenarios!$C$22,'Term Sheet'!$C$54-O83),0)</f>
        <v>0</v>
      </c>
      <c r="Q77" s="10">
        <f>IF(YEAR(Q$6)=YEAR(Scenarios!$C$21),Scenarios!$C$17*MIN(Scenarios!$C$22,'Term Sheet'!$C$54-P83),0)</f>
        <v>0</v>
      </c>
      <c r="S77" s="10"/>
      <c r="T77" s="10">
        <f>IF(YEAR(T$6)=YEAR(Scenarios!$C$21),Scenarios!$C$17*MIN(Scenarios!$C$22,'Term Sheet'!$C$54-S83),0)</f>
        <v>0</v>
      </c>
      <c r="U77" s="10">
        <f>IF(YEAR(U$6)=YEAR(Scenarios!$C$21),Scenarios!$C$17*MIN(Scenarios!$C$22,'Term Sheet'!$C$54-T83),0)</f>
        <v>0</v>
      </c>
      <c r="V77" s="10">
        <f>IF(YEAR(V$6)=YEAR(Scenarios!$C$21),Scenarios!$C$17*MIN(Scenarios!$C$22,'Term Sheet'!$C$54-U83),0)</f>
        <v>0</v>
      </c>
      <c r="W77" s="10">
        <f>IF(YEAR(W$6)=YEAR(Scenarios!$C$21),Scenarios!$C$17*MIN(Scenarios!$C$22,'Term Sheet'!$C$54-V83),0)</f>
        <v>0</v>
      </c>
      <c r="X77" s="10">
        <f>IF(YEAR(X$6)=YEAR(Scenarios!$C$21),Scenarios!$C$17*MIN(Scenarios!$C$22,'Term Sheet'!$C$54-W83),0)</f>
        <v>0</v>
      </c>
      <c r="Y77" s="10">
        <f>IF(YEAR(Y$6)=YEAR(Scenarios!$C$21),Scenarios!$C$17*MIN(Scenarios!$C$22,'Term Sheet'!$C$54-X83),0)</f>
        <v>0</v>
      </c>
    </row>
    <row r="78">
      <c r="B78" t="s" s="9">
        <v>268</v>
      </c>
      <c r="C78" s="10"/>
      <c r="D78" s="10">
        <f>IF(C83+D77=0,0,'Term Sheet'!$C$14*AVERAGE(D76,D82)*D31*D7)</f>
        <v>0</v>
      </c>
      <c r="E78" s="10">
        <f>IF(D83+E77=0,0,'Term Sheet'!$C$14*AVERAGE(E76,E82)*E31*E7)</f>
        <v>0</v>
      </c>
      <c r="F78" s="10">
        <f>IF(E83+F77=0,0,'Term Sheet'!$C$14*AVERAGE(F76,F82)*F31*F7)</f>
        <v>0</v>
      </c>
      <c r="G78" s="10">
        <f>IF(F83+G77=0,0,'Term Sheet'!$C$14*AVERAGE(G76,G82)*G31*G7)</f>
        <v>0</v>
      </c>
      <c r="H78" s="10">
        <f>IF(G83+H77=0,0,'Term Sheet'!$C$14*AVERAGE(H76,H82)*H31*H7)</f>
        <v>0</v>
      </c>
      <c r="I78" s="10">
        <f>IF(H83+I77=0,0,'Term Sheet'!$C$14*AVERAGE(I76,I82)*I31*I7)</f>
        <v>0</v>
      </c>
      <c r="J78" s="10"/>
      <c r="K78" s="10"/>
      <c r="L78" s="10">
        <f>IF(K83+L77=0,0,'Term Sheet'!$C$14*AVERAGE(L76,L82)*L31*L7)</f>
        <v>0</v>
      </c>
      <c r="M78" s="10">
        <f>IF(L83+M77=0,0,'Term Sheet'!$C$14*AVERAGE(M76,M82)*M31*M7)</f>
        <v>0</v>
      </c>
      <c r="N78" s="10">
        <f>IF(M83+N77=0,0,'Term Sheet'!$C$14*AVERAGE(N76,N82)*N31*N7)</f>
        <v>0</v>
      </c>
      <c r="O78" s="10">
        <f>IF(N83+O77=0,0,'Term Sheet'!$C$14*AVERAGE(O76,O82)*O31*O7)</f>
        <v>0</v>
      </c>
      <c r="P78" s="10">
        <f>IF(O83+P77=0,0,'Term Sheet'!$C$14*AVERAGE(P76,P82)*P31*P7)</f>
        <v>0</v>
      </c>
      <c r="Q78" s="10">
        <f>IF(P83+Q77=0,0,'Term Sheet'!$C$14*AVERAGE(Q76,Q82)*Q31*Q7)</f>
        <v>0</v>
      </c>
      <c r="S78" s="10"/>
      <c r="T78" s="10">
        <f>IF(S83+T77=0,0,'Term Sheet'!$C$14*AVERAGE(T76,T82)*T31*T7)</f>
        <v>0</v>
      </c>
      <c r="U78" s="10">
        <f>IF(T83+U77=0,0,'Term Sheet'!$C$14*AVERAGE(U76,U82)*U31*U7)</f>
        <v>0</v>
      </c>
      <c r="V78" s="10">
        <f>IF(U83+V77=0,0,'Term Sheet'!$C$14*AVERAGE(V76,V82)*V31*V7)</f>
        <v>0</v>
      </c>
      <c r="W78" s="10">
        <f>IF(V83+W77=0,0,'Term Sheet'!$C$14*AVERAGE(W76,W82)*W31*W7)</f>
        <v>0</v>
      </c>
      <c r="X78" s="10">
        <f>IF(W83+X77=0,0,'Term Sheet'!$C$14*AVERAGE(X76,X82)*X31*X7)</f>
        <v>0</v>
      </c>
      <c r="Y78" s="10">
        <f>IF(X83+Y77=0,0,'Term Sheet'!$C$14*AVERAGE(Y76,Y82)*Y31*Y7)</f>
        <v>0</v>
      </c>
    </row>
    <row r="79">
      <c r="B79" t="s" s="9">
        <v>247</v>
      </c>
      <c r="C79" s="10"/>
      <c r="D79" s="10">
        <f>-MIN('Term Sheet'!$C$36*C83*D7,D76)</f>
        <v>0</v>
      </c>
      <c r="E79" s="10">
        <f>-MIN('Term Sheet'!$C$36*D83*E7,E76)</f>
        <v>0</v>
      </c>
      <c r="F79" s="10">
        <f>-MIN('Term Sheet'!$C$36*E83*F7,F76)</f>
        <v>0</v>
      </c>
      <c r="G79" s="10">
        <f>-MIN('Term Sheet'!$C$36*F83*G7,G76)</f>
        <v>0</v>
      </c>
      <c r="H79" s="10">
        <f>-MIN('Term Sheet'!$C$36*G83*H7,H76)</f>
        <v>0</v>
      </c>
      <c r="I79" s="10">
        <f>-MIN('Term Sheet'!$C$36*H83*I7,I76)</f>
        <v>0</v>
      </c>
      <c r="J79" s="10"/>
      <c r="K79" s="10"/>
      <c r="L79" s="10">
        <f>-MIN('Term Sheet'!$C$36*K83*L7,L76)</f>
        <v>0</v>
      </c>
      <c r="M79" s="10">
        <f>-MIN('Term Sheet'!$C$36*L83*M7,M76)</f>
        <v>0</v>
      </c>
      <c r="N79" s="10">
        <f>-MIN('Term Sheet'!$C$36*M83*N7,N76)</f>
        <v>0</v>
      </c>
      <c r="O79" s="10">
        <f>-MIN('Term Sheet'!$C$36*N83*O7,O76)</f>
        <v>0</v>
      </c>
      <c r="P79" s="10">
        <f>-MIN('Term Sheet'!$C$36*O83*P7,P76)</f>
        <v>0</v>
      </c>
      <c r="Q79" s="10">
        <f>-MIN('Term Sheet'!$C$36*P83*Q7,Q76)</f>
        <v>0</v>
      </c>
      <c r="S79" s="10"/>
      <c r="T79" s="10">
        <f>-MIN('Term Sheet'!$C$36*S83*T7,T76)</f>
        <v>0</v>
      </c>
      <c r="U79" s="10">
        <f>-MIN('Term Sheet'!$C$36*T83*U7,U76)</f>
        <v>0</v>
      </c>
      <c r="V79" s="10">
        <f>-MIN('Term Sheet'!$C$36*U83*V7,V76)</f>
        <v>0</v>
      </c>
      <c r="W79" s="10">
        <f>-MIN('Term Sheet'!$C$36*V83*W7,W76)</f>
        <v>0</v>
      </c>
      <c r="X79" s="10">
        <f>-MIN('Term Sheet'!$C$36*W83*X7,X76)</f>
        <v>0</v>
      </c>
      <c r="Y79" s="10">
        <f>-MIN('Term Sheet'!$C$36*X83*Y7,Y76)</f>
        <v>0</v>
      </c>
    </row>
    <row r="80">
      <c r="B80" t="s" s="9">
        <v>257</v>
      </c>
      <c r="C80" s="10"/>
      <c r="D80" s="10">
        <f>-MIN(-(D52-D69),D76+D77+D78+D79)</f>
        <v>0</v>
      </c>
      <c r="E80" s="10">
        <f>-MIN(-(E52-E69),E76+E77+E78+E79)</f>
        <v>0</v>
      </c>
      <c r="F80" s="10">
        <f>-MIN(-(F52-F69),F76+F77+F78+F79)</f>
        <v>0</v>
      </c>
      <c r="G80" s="10">
        <f>-MIN(-(G52-G69),G76+G77+G78+G79)</f>
        <v>0</v>
      </c>
      <c r="H80" s="10">
        <f>-MIN(-(H52-H69),H76+H77+H78+H79)</f>
        <v>0</v>
      </c>
      <c r="I80" s="10">
        <f>-MIN(-(I52-I69),I76+I77+I78+I79)</f>
        <v>0</v>
      </c>
      <c r="J80" s="10"/>
      <c r="K80" s="10"/>
      <c r="L80" s="10">
        <f>-MIN(-(L52-L69),L76+L77+L78+L79)</f>
        <v>0</v>
      </c>
      <c r="M80" s="10">
        <f>-MIN(-(M52-M69),M76+M77+M78+M79)</f>
        <v>0</v>
      </c>
      <c r="N80" s="10">
        <f>-MIN(-(N52-N69),N76+N77+N78+N79)</f>
        <v>0</v>
      </c>
      <c r="O80" s="10">
        <f>-MIN(-(O52-O69),O76+O77+O78+O79)</f>
        <v>0</v>
      </c>
      <c r="P80" s="10">
        <f>-MIN(-(P52-P69),P76+P77+P78+P79)</f>
        <v>0</v>
      </c>
      <c r="Q80" s="10">
        <f>-MIN(-(Q52-Q69),Q76+Q77+Q78+Q79)</f>
        <v>0</v>
      </c>
      <c r="S80" s="10"/>
      <c r="T80" s="10">
        <f>-MIN(-(T52-T69),T76+T77+T78+T79)</f>
        <v>0</v>
      </c>
      <c r="U80" s="10">
        <f>-MIN(-(U52-U69),U76+U77+U78+U79)</f>
        <v>0</v>
      </c>
      <c r="V80" s="10">
        <f>-MIN(-(V52-V69),V76+V77+V78+V79)</f>
        <v>0</v>
      </c>
      <c r="W80" s="10">
        <f>-MIN(-(W52-W69),W76+W77+W78+W79)</f>
        <v>0</v>
      </c>
      <c r="X80" s="10">
        <f>-MIN(-(X52-X69),X76+X77+X78+X79)</f>
        <v>0</v>
      </c>
      <c r="Y80" s="10">
        <f>-MIN(-(Y52-Y69),Y76+Y77+Y78+Y79)</f>
        <v>0</v>
      </c>
    </row>
    <row r="81">
      <c r="B81" t="s" s="9">
        <v>269</v>
      </c>
      <c r="C81" s="10"/>
      <c r="D81" s="10">
        <f>-MIN(-(D53-D70),D76+D77+D78+D79+D80)</f>
        <v>0</v>
      </c>
      <c r="E81" s="10">
        <f>-MIN(-(E53-E70),E76+E77+E78+E79+E80)</f>
        <v>0</v>
      </c>
      <c r="F81" s="10">
        <f>-MIN(-(F53-F70),F76+F77+F78+F79+F80)</f>
        <v>0</v>
      </c>
      <c r="G81" s="10">
        <f>-MIN(-(G53-G70),G76+G77+G78+G79+G80)</f>
        <v>0</v>
      </c>
      <c r="H81" s="10">
        <f>-MIN(-(H53-H70),H76+H77+H78+H79+H80)</f>
        <v>0</v>
      </c>
      <c r="I81" s="10">
        <f>-MIN(-(I53-I70),I76+I77+I78+I79+I80)</f>
        <v>0</v>
      </c>
      <c r="J81" s="10"/>
      <c r="K81" s="10"/>
      <c r="L81" s="10">
        <f>-MIN(-(L53-L70),L76+L77+L78+L79+L80)</f>
        <v>0</v>
      </c>
      <c r="M81" s="10">
        <f>-MIN(-(M53-M70),M76+M77+M78+M79+M80)</f>
        <v>0</v>
      </c>
      <c r="N81" s="10">
        <f>-MIN(-(N53-N70),N76+N77+N78+N79+N80)</f>
        <v>0</v>
      </c>
      <c r="O81" s="10">
        <f>-MIN(-(O53-O70),O76+O77+O78+O79+O80)</f>
        <v>0</v>
      </c>
      <c r="P81" s="10">
        <f>-MIN(-(P53-P70),P76+P77+P78+P79+P80)</f>
        <v>0</v>
      </c>
      <c r="Q81" s="10">
        <f>-MIN(-(Q53-Q70),Q76+Q77+Q78+Q79+Q80)</f>
        <v>0</v>
      </c>
      <c r="S81" s="10"/>
      <c r="T81" s="10">
        <f>-MIN(-(T53-T70),T76+T77+T78+T79+T80)</f>
        <v>0</v>
      </c>
      <c r="U81" s="10">
        <f>-MIN(-(U53-U70),U76+U77+U78+U79+U80)</f>
        <v>0</v>
      </c>
      <c r="V81" s="10">
        <f>-MIN(-(V53-V70),V76+V77+V78+V79+V80)</f>
        <v>0</v>
      </c>
      <c r="W81" s="10">
        <f>-MIN(-(W53-W70),W76+W77+W78+W79+W80)</f>
        <v>0</v>
      </c>
      <c r="X81" s="10">
        <f>-MIN(-(X53-X70),X76+X77+X78+X79+X80)</f>
        <v>0</v>
      </c>
      <c r="Y81" s="10">
        <f>-MIN(-(Y53-Y70),Y76+Y77+Y78+Y79+Y80)</f>
        <v>0</v>
      </c>
    </row>
    <row r="82">
      <c r="B82" t="s" s="41">
        <v>263</v>
      </c>
      <c r="C82" s="46">
        <f>'Term Sheet'!$C$55</f>
        <v>0</v>
      </c>
      <c r="D82" s="42">
        <f>SUM(D76:D81)</f>
        <v>0</v>
      </c>
      <c r="E82" s="42">
        <f>SUM(E76:E81)</f>
        <v>0</v>
      </c>
      <c r="F82" s="42">
        <f>SUM(F76:F81)</f>
        <v>0</v>
      </c>
      <c r="G82" s="42">
        <f>SUM(G76:G81)</f>
        <v>0</v>
      </c>
      <c r="H82" s="42">
        <f>SUM(H76:H81)</f>
        <v>0</v>
      </c>
      <c r="I82" s="42">
        <f>SUM(I76:I81)</f>
        <v>0</v>
      </c>
      <c r="J82" s="10"/>
      <c r="K82" s="46">
        <f>'Term Sheet'!$C$55</f>
        <v>0</v>
      </c>
      <c r="L82" s="42">
        <f>SUM(L76:L81)</f>
        <v>0</v>
      </c>
      <c r="M82" s="42">
        <f>SUM(M76:M81)</f>
        <v>0</v>
      </c>
      <c r="N82" s="42">
        <f>SUM(N76:N81)</f>
        <v>0</v>
      </c>
      <c r="O82" s="42">
        <f>SUM(O76:O81)</f>
        <v>0</v>
      </c>
      <c r="P82" s="42">
        <f>SUM(P76:P81)</f>
        <v>0</v>
      </c>
      <c r="Q82" s="42">
        <f>SUM(Q76:Q81)</f>
        <v>0</v>
      </c>
      <c r="S82" s="46">
        <f>'Term Sheet'!$C$55</f>
        <v>0</v>
      </c>
      <c r="T82" s="42">
        <f>SUM(T76:T81)</f>
        <v>0</v>
      </c>
      <c r="U82" s="42">
        <f>SUM(U76:U81)</f>
        <v>0</v>
      </c>
      <c r="V82" s="42">
        <f>SUM(V76:V81)</f>
        <v>0</v>
      </c>
      <c r="W82" s="42">
        <f>SUM(W76:W81)</f>
        <v>0</v>
      </c>
      <c r="X82" s="42">
        <f>SUM(X76:X81)</f>
        <v>0</v>
      </c>
      <c r="Y82" s="42">
        <f>SUM(Y76:Y81)</f>
        <v>0</v>
      </c>
    </row>
    <row r="83">
      <c r="B83" t="s" s="9">
        <v>274</v>
      </c>
      <c r="C83" s="44">
        <f>'Term Sheet'!$C$55</f>
        <v>0</v>
      </c>
      <c r="D83" s="10">
        <f>C83+D77</f>
        <v>0</v>
      </c>
      <c r="E83" s="10">
        <f>D83+E77</f>
        <v>0</v>
      </c>
      <c r="F83" s="10">
        <f>E83+F77</f>
        <v>0</v>
      </c>
      <c r="G83" s="10">
        <f>F83+G77</f>
        <v>0</v>
      </c>
      <c r="H83" s="10">
        <f>G83+H77</f>
        <v>0</v>
      </c>
      <c r="I83" s="10">
        <f>H83+I77</f>
        <v>0</v>
      </c>
      <c r="J83" s="10"/>
      <c r="K83" s="44">
        <f>'Term Sheet'!$C$55</f>
        <v>0</v>
      </c>
      <c r="L83" s="10">
        <f>K83+L77</f>
        <v>0</v>
      </c>
      <c r="M83" s="10">
        <f>L83+M77</f>
        <v>0</v>
      </c>
      <c r="N83" s="10">
        <f>M83+N77</f>
        <v>0</v>
      </c>
      <c r="O83" s="10">
        <f>N83+O77</f>
        <v>0</v>
      </c>
      <c r="P83" s="10">
        <f>O83+P77</f>
        <v>0</v>
      </c>
      <c r="Q83" s="10">
        <f>P83+Q77</f>
        <v>0</v>
      </c>
      <c r="S83" s="44">
        <f>'Term Sheet'!$C$55</f>
        <v>0</v>
      </c>
      <c r="T83" s="10">
        <f>S83+T77</f>
        <v>0</v>
      </c>
      <c r="U83" s="10">
        <f>T83+U77</f>
        <v>0</v>
      </c>
      <c r="V83" s="10">
        <f>U83+V77</f>
        <v>0</v>
      </c>
      <c r="W83" s="10">
        <f>V83+W77</f>
        <v>0</v>
      </c>
      <c r="X83" s="10">
        <f>W83+X77</f>
        <v>0</v>
      </c>
      <c r="Y83" s="10">
        <f>X83+Y77</f>
        <v>0</v>
      </c>
    </row>
    <row r="84">
      <c r="B84" t="s" s="9">
        <v>275</v>
      </c>
      <c r="C84" s="10">
        <f>'Term Sheet'!$C$54-C83</f>
        <v>500</v>
      </c>
      <c r="D84" s="10">
        <f>IF(MAX('Term Sheet'!$C$7,EDATE(D$6,-12))&lt;'Term Sheet'!$C$57,'Term Sheet'!$C$54-D83,0)</f>
        <v>500</v>
      </c>
      <c r="E84" s="10">
        <f>IF(MAX('Term Sheet'!$C$7,EDATE(E$6,-12))&lt;'Term Sheet'!$C$57,'Term Sheet'!$C$54-E83,0)</f>
        <v>500</v>
      </c>
      <c r="F84" s="10">
        <f>IF(MAX('Term Sheet'!$C$7,EDATE(F$6,-12))&lt;'Term Sheet'!$C$57,'Term Sheet'!$C$54-F83,0)</f>
        <v>500</v>
      </c>
      <c r="G84" s="10">
        <f>IF(MAX('Term Sheet'!$C$7,EDATE(G$6,-12))&lt;'Term Sheet'!$C$57,'Term Sheet'!$C$54-G83,0)</f>
        <v>0</v>
      </c>
      <c r="H84" s="10">
        <f>IF(MAX('Term Sheet'!$C$7,EDATE(H$6,-12))&lt;'Term Sheet'!$C$57,'Term Sheet'!$C$54-H83,0)</f>
        <v>0</v>
      </c>
      <c r="I84" s="10">
        <f>IF(MAX('Term Sheet'!$C$7,EDATE(I$6,-12))&lt;'Term Sheet'!$C$57,'Term Sheet'!$C$54-I83,0)</f>
        <v>0</v>
      </c>
      <c r="J84" s="10"/>
      <c r="K84" s="10">
        <f>'Term Sheet'!$C$54-K83</f>
        <v>500</v>
      </c>
      <c r="L84" s="10">
        <f>IF(MAX('Term Sheet'!$C$7,EDATE(L$6,-12))&lt;'Term Sheet'!$C$57,'Term Sheet'!$C$54-L83,0)</f>
        <v>500</v>
      </c>
      <c r="M84" s="10">
        <f>IF(MAX('Term Sheet'!$C$7,EDATE(M$6,-12))&lt;'Term Sheet'!$C$57,'Term Sheet'!$C$54-M83,0)</f>
        <v>500</v>
      </c>
      <c r="N84" s="10">
        <f>IF(MAX('Term Sheet'!$C$7,EDATE(N$6,-12))&lt;'Term Sheet'!$C$57,'Term Sheet'!$C$54-N83,0)</f>
        <v>500</v>
      </c>
      <c r="O84" s="10">
        <f>IF(MAX('Term Sheet'!$C$7,EDATE(O$6,-12))&lt;'Term Sheet'!$C$57,'Term Sheet'!$C$54-O83,0)</f>
        <v>0</v>
      </c>
      <c r="P84" s="10">
        <f>IF(MAX('Term Sheet'!$C$7,EDATE(P$6,-12))&lt;'Term Sheet'!$C$57,'Term Sheet'!$C$54-P83,0)</f>
        <v>0</v>
      </c>
      <c r="Q84" s="10">
        <f>IF(MAX('Term Sheet'!$C$7,EDATE(Q$6,-12))&lt;'Term Sheet'!$C$57,'Term Sheet'!$C$54-Q83,0)</f>
        <v>0</v>
      </c>
      <c r="S84" s="10">
        <f>'Term Sheet'!$C$54-S83</f>
        <v>500</v>
      </c>
      <c r="T84" s="10">
        <f>IF(MAX('Term Sheet'!$C$7,EDATE(T$6,-12))&lt;'Term Sheet'!$C$57,'Term Sheet'!$C$54-T83,0)</f>
        <v>500</v>
      </c>
      <c r="U84" s="10">
        <f>IF(MAX('Term Sheet'!$C$7,EDATE(U$6,-12))&lt;'Term Sheet'!$C$57,'Term Sheet'!$C$54-U83,0)</f>
        <v>500</v>
      </c>
      <c r="V84" s="10">
        <f>IF(MAX('Term Sheet'!$C$7,EDATE(V$6,-12))&lt;'Term Sheet'!$C$57,'Term Sheet'!$C$54-V83,0)</f>
        <v>500</v>
      </c>
      <c r="W84" s="10">
        <f>IF(MAX('Term Sheet'!$C$7,EDATE(W$6,-12))&lt;'Term Sheet'!$C$57,'Term Sheet'!$C$54-W83,0)</f>
        <v>0</v>
      </c>
      <c r="X84" s="10">
        <f>IF(MAX('Term Sheet'!$C$7,EDATE(X$6,-12))&lt;'Term Sheet'!$C$57,'Term Sheet'!$C$54-X83,0)</f>
        <v>0</v>
      </c>
      <c r="Y84" s="10">
        <f>IF(MAX('Term Sheet'!$C$7,EDATE(Y$6,-12))&lt;'Term Sheet'!$C$57,'Term Sheet'!$C$54-Y83,0)</f>
        <v>0</v>
      </c>
    </row>
    <row r="85">
      <c r="B85" t="s" s="9">
        <v>270</v>
      </c>
      <c r="C85" s="10"/>
      <c r="D85" s="10">
        <f>AVERAGE(D76,D82)</f>
        <v>0</v>
      </c>
      <c r="E85" s="10">
        <f>AVERAGE(E76,E82)</f>
        <v>0</v>
      </c>
      <c r="F85" s="10">
        <f>AVERAGE(F76,F82)</f>
        <v>0</v>
      </c>
      <c r="G85" s="10">
        <f>AVERAGE(G76,G82)</f>
        <v>0</v>
      </c>
      <c r="H85" s="10">
        <f>AVERAGE(H76,H82)</f>
        <v>0</v>
      </c>
      <c r="I85" s="10">
        <f>AVERAGE(I76,I82)</f>
        <v>0</v>
      </c>
      <c r="J85" s="10"/>
      <c r="K85" s="10"/>
      <c r="L85" s="10">
        <f>AVERAGE(L76,L82)</f>
        <v>0</v>
      </c>
      <c r="M85" s="10">
        <f>AVERAGE(M76,M82)</f>
        <v>0</v>
      </c>
      <c r="N85" s="10">
        <f>AVERAGE(N76,N82)</f>
        <v>0</v>
      </c>
      <c r="O85" s="10">
        <f>AVERAGE(O76,O82)</f>
        <v>0</v>
      </c>
      <c r="P85" s="10">
        <f>AVERAGE(P76,P82)</f>
        <v>0</v>
      </c>
      <c r="Q85" s="10">
        <f>AVERAGE(Q76,Q82)</f>
        <v>0</v>
      </c>
      <c r="S85" s="10"/>
      <c r="T85" s="10">
        <f>AVERAGE(T76,T82)</f>
        <v>0</v>
      </c>
      <c r="U85" s="10">
        <f>AVERAGE(U76,U82)</f>
        <v>0</v>
      </c>
      <c r="V85" s="10">
        <f>AVERAGE(V76,V82)</f>
        <v>0</v>
      </c>
      <c r="W85" s="10">
        <f>AVERAGE(W76,W82)</f>
        <v>0</v>
      </c>
      <c r="X85" s="10">
        <f>AVERAGE(X76,X82)</f>
        <v>0</v>
      </c>
      <c r="Y85" s="10">
        <f>AVERAGE(Y76,Y82)</f>
        <v>0</v>
      </c>
    </row>
    <row r="86">
      <c r="B86" t="s" s="9">
        <v>271</v>
      </c>
      <c r="C86" s="10"/>
      <c r="D86" s="10">
        <f>'Term Sheet'!$C$14*D85*D30*D7</f>
        <v>0</v>
      </c>
      <c r="E86" s="10">
        <f>'Term Sheet'!$C$14*E85*E30*E7</f>
        <v>0</v>
      </c>
      <c r="F86" s="10">
        <f>'Term Sheet'!$C$14*F85*F30*F7</f>
        <v>0</v>
      </c>
      <c r="G86" s="10">
        <f>'Term Sheet'!$C$14*G85*G30*G7</f>
        <v>0</v>
      </c>
      <c r="H86" s="10">
        <f>'Term Sheet'!$C$14*H85*H30*H7</f>
        <v>0</v>
      </c>
      <c r="I86" s="10">
        <f>'Term Sheet'!$C$14*I85*I30*I7</f>
        <v>0</v>
      </c>
      <c r="J86" s="10"/>
      <c r="K86" s="10"/>
      <c r="L86" s="10">
        <f>'Term Sheet'!$C$14*L85*L30*L7</f>
        <v>0</v>
      </c>
      <c r="M86" s="10">
        <f>'Term Sheet'!$C$14*M85*M30*M7</f>
        <v>0</v>
      </c>
      <c r="N86" s="10">
        <f>'Term Sheet'!$C$14*N85*N30*N7</f>
        <v>0</v>
      </c>
      <c r="O86" s="10">
        <f>'Term Sheet'!$C$14*O85*O30*O7</f>
        <v>0</v>
      </c>
      <c r="P86" s="10">
        <f>'Term Sheet'!$C$14*P85*P30*P7</f>
        <v>0</v>
      </c>
      <c r="Q86" s="10">
        <f>'Term Sheet'!$C$14*Q85*Q30*Q7</f>
        <v>0</v>
      </c>
      <c r="S86" s="10"/>
      <c r="T86" s="10">
        <f>'Term Sheet'!$C$14*T85*T30*T7</f>
        <v>0</v>
      </c>
      <c r="U86" s="10">
        <f>'Term Sheet'!$C$14*U85*U30*U7</f>
        <v>0</v>
      </c>
      <c r="V86" s="10">
        <f>'Term Sheet'!$C$14*V85*V30*V7</f>
        <v>0</v>
      </c>
      <c r="W86" s="10">
        <f>'Term Sheet'!$C$14*W85*W30*W7</f>
        <v>0</v>
      </c>
      <c r="X86" s="10">
        <f>'Term Sheet'!$C$14*X85*X30*X7</f>
        <v>0</v>
      </c>
      <c r="Y86" s="10">
        <f>'Term Sheet'!$C$14*Y85*Y30*Y7</f>
        <v>0</v>
      </c>
    </row>
    <row r="87">
      <c r="B87" t="s" s="9">
        <v>276</v>
      </c>
      <c r="C87" s="10"/>
      <c r="D87" s="10">
        <f>'Term Sheet'!$C$14*AVERAGE(C84,D84)*D34*D7</f>
        <v>0.6780821917808219</v>
      </c>
      <c r="E87" s="10">
        <f>'Term Sheet'!$C$14*AVERAGE(D84,E84)*E34*E7</f>
        <v>3.7945205479452055</v>
      </c>
      <c r="F87" s="10">
        <f>'Term Sheet'!$C$14*AVERAGE(E84,F84)*F34*F7</f>
        <v>4.918032786885246</v>
      </c>
      <c r="G87" s="10">
        <f>'Term Sheet'!$C$14*AVERAGE(F84,G84)*G34*G7</f>
        <v>0</v>
      </c>
      <c r="H87" s="10">
        <f>'Term Sheet'!$C$14*AVERAGE(G84,H84)*H34*H7</f>
        <v>0</v>
      </c>
      <c r="I87" s="10">
        <f>'Term Sheet'!$C$14*AVERAGE(H84,I84)*I34*I7</f>
        <v>0</v>
      </c>
      <c r="J87" s="10"/>
      <c r="K87" s="10"/>
      <c r="L87" s="10">
        <f>'Term Sheet'!$C$14*AVERAGE(K84,L84)*L34*L7</f>
        <v>0.6780821917808219</v>
      </c>
      <c r="M87" s="10">
        <f>'Term Sheet'!$C$14*AVERAGE(L84,M84)*M34*M7</f>
        <v>3.7945205479452055</v>
      </c>
      <c r="N87" s="10">
        <f>'Term Sheet'!$C$14*AVERAGE(M84,N84)*N34*N7</f>
        <v>4.918032786885246</v>
      </c>
      <c r="O87" s="10">
        <f>'Term Sheet'!$C$14*AVERAGE(N84,O84)*O34*O7</f>
        <v>0</v>
      </c>
      <c r="P87" s="10">
        <f>'Term Sheet'!$C$14*AVERAGE(O84,P84)*P34*P7</f>
        <v>0</v>
      </c>
      <c r="Q87" s="10">
        <f>'Term Sheet'!$C$14*AVERAGE(P84,Q84)*Q34*Q7</f>
        <v>0</v>
      </c>
      <c r="S87" s="10"/>
      <c r="T87" s="10">
        <f>'Term Sheet'!$C$14*AVERAGE(S84,T84)*T34*T7</f>
        <v>0.6780821917808219</v>
      </c>
      <c r="U87" s="10">
        <f>'Term Sheet'!$C$14*AVERAGE(T84,U84)*U34*U7</f>
        <v>3.7945205479452055</v>
      </c>
      <c r="V87" s="10">
        <f>'Term Sheet'!$C$14*AVERAGE(U84,V84)*V34*V7</f>
        <v>4.918032786885246</v>
      </c>
      <c r="W87" s="10">
        <f>'Term Sheet'!$C$14*AVERAGE(V84,W84)*W34*W7</f>
        <v>0</v>
      </c>
      <c r="X87" s="10">
        <f>'Term Sheet'!$C$14*AVERAGE(W84,X84)*X34*X7</f>
        <v>0</v>
      </c>
      <c r="Y87" s="10">
        <f>'Term Sheet'!$C$14*AVERAGE(X84,Y84)*Y34*Y7</f>
        <v>0</v>
      </c>
    </row>
    <row r="88">
      <c r="S88"/>
      <c r="T88"/>
      <c r="U88"/>
      <c r="V88"/>
      <c r="W88"/>
      <c r="X88"/>
      <c r="Y88"/>
    </row>
    <row r="89">
      <c r="B89" t="s" s="34">
        <v>277</v>
      </c>
      <c r="C89" s="34"/>
      <c r="D89" s="34"/>
      <c r="E89" s="34"/>
      <c r="F89" s="34"/>
      <c r="G89" s="34"/>
      <c r="H89" s="34"/>
      <c r="I89" s="34"/>
      <c r="J89" s="34"/>
      <c r="K89" s="34"/>
      <c r="L89" s="34"/>
      <c r="M89" s="34"/>
      <c r="N89" s="34"/>
      <c r="O89" s="34"/>
      <c r="P89" s="34"/>
      <c r="Q89" s="34"/>
      <c r="R89" s="34"/>
      <c r="S89" s="34"/>
      <c r="T89" s="34"/>
      <c r="U89" s="34"/>
      <c r="V89" s="34"/>
      <c r="W89" s="34"/>
      <c r="X89" s="34"/>
      <c r="Y89" s="34"/>
    </row>
    <row r="90">
      <c r="B90" t="s" s="9">
        <v>261</v>
      </c>
      <c r="C90" s="10"/>
      <c r="D90" s="10">
        <f>C92</f>
        <v>54</v>
      </c>
      <c r="E90" s="10">
        <f>D92</f>
        <v>50.00547945205479</v>
      </c>
      <c r="F90" s="10">
        <f>E92</f>
        <v>42.29119373776908</v>
      </c>
      <c r="G90" s="10">
        <f>F92</f>
        <v>34.57690802348336</v>
      </c>
      <c r="H90" s="10">
        <f>G92</f>
        <v>26.862622309197647</v>
      </c>
      <c r="I90" s="10">
        <f>H92</f>
        <v>19.14833659491193</v>
      </c>
      <c r="J90" s="10"/>
      <c r="K90" s="10"/>
      <c r="L90" s="10">
        <f>K92</f>
        <v>54</v>
      </c>
      <c r="M90" s="10">
        <f>L92</f>
        <v>50.00547945205479</v>
      </c>
      <c r="N90" s="10">
        <f>M92</f>
        <v>42.29119373776908</v>
      </c>
      <c r="O90" s="10">
        <f>N92</f>
        <v>34.57690802348336</v>
      </c>
      <c r="P90" s="10">
        <f>O92</f>
        <v>26.862622309197647</v>
      </c>
      <c r="Q90" s="10">
        <f>P92</f>
        <v>19.14833659491193</v>
      </c>
      <c r="S90" s="10"/>
      <c r="T90" s="10">
        <f>S92</f>
        <v>54</v>
      </c>
      <c r="U90" s="10">
        <f>T92</f>
        <v>50.00547945205479</v>
      </c>
      <c r="V90" s="10">
        <f>U92</f>
        <v>42.29119373776908</v>
      </c>
      <c r="W90" s="10">
        <f>V92</f>
        <v>34.57690802348336</v>
      </c>
      <c r="X90" s="10">
        <f>W92</f>
        <v>26.862622309197647</v>
      </c>
      <c r="Y90" s="10">
        <f>X92</f>
        <v>19.14833659491193</v>
      </c>
    </row>
    <row r="91">
      <c r="B91" t="s" s="9">
        <v>278</v>
      </c>
      <c r="C91" s="10"/>
      <c r="D91" s="10">
        <f>-MIN(D90,'Term Sheet'!$C$50/'Term Sheet'!$C$51*D7)</f>
        <v>-3.9945205479452053</v>
      </c>
      <c r="E91" s="10">
        <f>-MIN(E90,'Term Sheet'!$C$50/'Term Sheet'!$C$51*E7)</f>
        <v>-7.714285714285714</v>
      </c>
      <c r="F91" s="10">
        <f>-MIN(F90,'Term Sheet'!$C$50/'Term Sheet'!$C$51*F7)</f>
        <v>-7.714285714285714</v>
      </c>
      <c r="G91" s="10">
        <f>-MIN(G90,'Term Sheet'!$C$50/'Term Sheet'!$C$51*G7)</f>
        <v>-7.714285714285714</v>
      </c>
      <c r="H91" s="10">
        <f>-MIN(H90,'Term Sheet'!$C$50/'Term Sheet'!$C$51*H7)</f>
        <v>-7.714285714285714</v>
      </c>
      <c r="I91" s="10">
        <f>-MIN(I90,'Term Sheet'!$C$50/'Term Sheet'!$C$51*I7)</f>
        <v>-7.714285714285714</v>
      </c>
      <c r="J91" s="10"/>
      <c r="K91" s="10"/>
      <c r="L91" s="10">
        <f>-MIN(L90,'Term Sheet'!$C$50/'Term Sheet'!$C$51*L7)</f>
        <v>-3.9945205479452053</v>
      </c>
      <c r="M91" s="10">
        <f>-MIN(M90,'Term Sheet'!$C$50/'Term Sheet'!$C$51*M7)</f>
        <v>-7.714285714285714</v>
      </c>
      <c r="N91" s="10">
        <f>-MIN(N90,'Term Sheet'!$C$50/'Term Sheet'!$C$51*N7)</f>
        <v>-7.714285714285714</v>
      </c>
      <c r="O91" s="10">
        <f>-MIN(O90,'Term Sheet'!$C$50/'Term Sheet'!$C$51*O7)</f>
        <v>-7.714285714285714</v>
      </c>
      <c r="P91" s="10">
        <f>-MIN(P90,'Term Sheet'!$C$50/'Term Sheet'!$C$51*P7)</f>
        <v>-7.714285714285714</v>
      </c>
      <c r="Q91" s="10">
        <f>-MIN(Q90,'Term Sheet'!$C$50/'Term Sheet'!$C$51*Q7)</f>
        <v>-7.714285714285714</v>
      </c>
      <c r="S91" s="10"/>
      <c r="T91" s="10">
        <f>-MIN(T90,'Term Sheet'!$C$50/'Term Sheet'!$C$51*T7)</f>
        <v>-3.9945205479452053</v>
      </c>
      <c r="U91" s="10">
        <f>-MIN(U90,'Term Sheet'!$C$50/'Term Sheet'!$C$51*U7)</f>
        <v>-7.714285714285714</v>
      </c>
      <c r="V91" s="10">
        <f>-MIN(V90,'Term Sheet'!$C$50/'Term Sheet'!$C$51*V7)</f>
        <v>-7.714285714285714</v>
      </c>
      <c r="W91" s="10">
        <f>-MIN(W90,'Term Sheet'!$C$50/'Term Sheet'!$C$51*W7)</f>
        <v>-7.714285714285714</v>
      </c>
      <c r="X91" s="10">
        <f>-MIN(X90,'Term Sheet'!$C$50/'Term Sheet'!$C$51*X7)</f>
        <v>-7.714285714285714</v>
      </c>
      <c r="Y91" s="10">
        <f>-MIN(Y90,'Term Sheet'!$C$50/'Term Sheet'!$C$51*Y7)</f>
        <v>-7.714285714285714</v>
      </c>
    </row>
    <row r="92">
      <c r="B92" t="s" s="41">
        <v>263</v>
      </c>
      <c r="C92" s="46">
        <f>'Term Sheet'!$C$50</f>
        <v>54</v>
      </c>
      <c r="D92" s="42">
        <f>D90+D91</f>
        <v>50.00547945205479</v>
      </c>
      <c r="E92" s="42">
        <f>E90+E91</f>
        <v>42.29119373776908</v>
      </c>
      <c r="F92" s="42">
        <f>F90+F91</f>
        <v>34.57690802348336</v>
      </c>
      <c r="G92" s="42">
        <f>G90+G91</f>
        <v>26.862622309197647</v>
      </c>
      <c r="H92" s="42">
        <f>H90+H91</f>
        <v>19.14833659491193</v>
      </c>
      <c r="I92" s="42">
        <f>I90+I91</f>
        <v>11.434050880626216</v>
      </c>
      <c r="J92" s="10"/>
      <c r="K92" s="46">
        <f>'Term Sheet'!$C$50</f>
        <v>54</v>
      </c>
      <c r="L92" s="42">
        <f>L90+L91</f>
        <v>50.00547945205479</v>
      </c>
      <c r="M92" s="42">
        <f>M90+M91</f>
        <v>42.29119373776908</v>
      </c>
      <c r="N92" s="42">
        <f>N90+N91</f>
        <v>34.57690802348336</v>
      </c>
      <c r="O92" s="42">
        <f>O90+O91</f>
        <v>26.862622309197647</v>
      </c>
      <c r="P92" s="42">
        <f>P90+P91</f>
        <v>19.14833659491193</v>
      </c>
      <c r="Q92" s="42">
        <f>Q90+Q91</f>
        <v>11.434050880626216</v>
      </c>
      <c r="S92" s="46">
        <f>'Term Sheet'!$C$50</f>
        <v>54</v>
      </c>
      <c r="T92" s="42">
        <f>T90+T91</f>
        <v>50.00547945205479</v>
      </c>
      <c r="U92" s="42">
        <f>U90+U91</f>
        <v>42.29119373776908</v>
      </c>
      <c r="V92" s="42">
        <f>V90+V91</f>
        <v>34.57690802348336</v>
      </c>
      <c r="W92" s="42">
        <f>W90+W91</f>
        <v>26.862622309197647</v>
      </c>
      <c r="X92" s="42">
        <f>X90+X91</f>
        <v>19.14833659491193</v>
      </c>
      <c r="Y92" s="42">
        <f>Y90+Y91</f>
        <v>11.434050880626216</v>
      </c>
    </row>
    <row r="93">
      <c r="S93"/>
      <c r="T93"/>
      <c r="U93"/>
      <c r="V93"/>
      <c r="W93"/>
      <c r="X93"/>
      <c r="Y93"/>
    </row>
    <row r="94">
      <c r="B94" t="s" s="34">
        <v>279</v>
      </c>
      <c r="C94" s="34"/>
      <c r="D94" s="34"/>
      <c r="E94" s="34"/>
      <c r="F94" s="34"/>
      <c r="G94" s="34"/>
      <c r="H94" s="34"/>
      <c r="I94" s="34"/>
      <c r="J94" s="34"/>
      <c r="K94" s="34"/>
      <c r="L94" s="34"/>
      <c r="M94" s="34"/>
      <c r="N94" s="34"/>
      <c r="O94" s="34"/>
      <c r="P94" s="34"/>
      <c r="Q94" s="34"/>
      <c r="R94" s="34"/>
      <c r="S94" s="34"/>
      <c r="T94" s="34"/>
      <c r="U94" s="34"/>
      <c r="V94" s="34"/>
      <c r="W94" s="34"/>
      <c r="X94" s="34"/>
      <c r="Y94" s="34"/>
    </row>
    <row r="95">
      <c r="B95" t="s" s="9">
        <v>280</v>
      </c>
      <c r="C95" s="10"/>
      <c r="D95" s="10">
        <f>D73</f>
        <v>85.53314653360448</v>
      </c>
      <c r="E95" s="10">
        <f>E73</f>
        <v>185.63486698955387</v>
      </c>
      <c r="F95" s="10">
        <f>F73</f>
        <v>215.04909057764908</v>
      </c>
      <c r="G95" s="10">
        <f>G73</f>
        <v>235.5720456435771</v>
      </c>
      <c r="H95" s="10">
        <f>H73</f>
        <v>223.79936090868486</v>
      </c>
      <c r="I95" s="10">
        <f>I73</f>
        <v>208.43157088217347</v>
      </c>
      <c r="J95" s="10"/>
      <c r="K95" s="10"/>
      <c r="L95" s="10">
        <f>L73</f>
        <v>85.53314653360448</v>
      </c>
      <c r="M95" s="10">
        <f>M73</f>
        <v>184.3292123474154</v>
      </c>
      <c r="N95" s="10">
        <f>N73</f>
        <v>208.52619455730792</v>
      </c>
      <c r="O95" s="10">
        <f>O73</f>
        <v>217.3604280123536</v>
      </c>
      <c r="P95" s="10">
        <f>P73</f>
        <v>187.8578888855945</v>
      </c>
      <c r="Q95" s="10">
        <f>Q73</f>
        <v>146.41174196624956</v>
      </c>
      <c r="S95" s="10"/>
      <c r="T95" s="10">
        <f>T73</f>
        <v>85.53314653360448</v>
      </c>
      <c r="U95" s="10">
        <f>U73</f>
        <v>187.11103136257103</v>
      </c>
      <c r="V95" s="10">
        <f>V73</f>
        <v>226.00979641137488</v>
      </c>
      <c r="W95" s="10">
        <f>W73</f>
        <v>247.84039772178267</v>
      </c>
      <c r="X95" s="10">
        <f>X73</f>
        <v>243.90886665140457</v>
      </c>
      <c r="Y95" s="10">
        <f>Y73</f>
        <v>238.73921360628398</v>
      </c>
    </row>
    <row r="96">
      <c r="B96" t="s" s="9">
        <v>281</v>
      </c>
      <c r="C96" s="10"/>
      <c r="D96" s="10">
        <f>D86</f>
        <v>0</v>
      </c>
      <c r="E96" s="10">
        <f>E86</f>
        <v>0</v>
      </c>
      <c r="F96" s="10">
        <f>F86</f>
        <v>0</v>
      </c>
      <c r="G96" s="10">
        <f>G86</f>
        <v>0</v>
      </c>
      <c r="H96" s="10">
        <f>H86</f>
        <v>0</v>
      </c>
      <c r="I96" s="10">
        <f>I86</f>
        <v>0</v>
      </c>
      <c r="J96" s="10"/>
      <c r="K96" s="10"/>
      <c r="L96" s="10">
        <f>L86</f>
        <v>0</v>
      </c>
      <c r="M96" s="10">
        <f>M86</f>
        <v>0</v>
      </c>
      <c r="N96" s="10">
        <f>N86</f>
        <v>0</v>
      </c>
      <c r="O96" s="10">
        <f>O86</f>
        <v>0</v>
      </c>
      <c r="P96" s="10">
        <f>P86</f>
        <v>0</v>
      </c>
      <c r="Q96" s="10">
        <f>Q86</f>
        <v>0</v>
      </c>
      <c r="S96" s="10"/>
      <c r="T96" s="10">
        <f>T86</f>
        <v>0</v>
      </c>
      <c r="U96" s="10">
        <f>U86</f>
        <v>0</v>
      </c>
      <c r="V96" s="10">
        <f>V86</f>
        <v>0</v>
      </c>
      <c r="W96" s="10">
        <f>W86</f>
        <v>0</v>
      </c>
      <c r="X96" s="10">
        <f>X86</f>
        <v>0</v>
      </c>
      <c r="Y96" s="10">
        <f>Y86</f>
        <v>0</v>
      </c>
    </row>
    <row r="97">
      <c r="B97" t="s" s="9">
        <v>282</v>
      </c>
      <c r="C97" s="10"/>
      <c r="D97" s="10">
        <f>D62</f>
        <v>0</v>
      </c>
      <c r="E97" s="10">
        <f>E62</f>
        <v>0</v>
      </c>
      <c r="F97" s="10">
        <f>F62</f>
        <v>0</v>
      </c>
      <c r="G97" s="10">
        <f>G62</f>
        <v>0</v>
      </c>
      <c r="H97" s="10">
        <f>H62</f>
        <v>0</v>
      </c>
      <c r="I97" s="10">
        <f>I62</f>
        <v>0</v>
      </c>
      <c r="J97" s="10"/>
      <c r="K97" s="10"/>
      <c r="L97" s="10">
        <f>L62</f>
        <v>0</v>
      </c>
      <c r="M97" s="10">
        <f>M62</f>
        <v>0</v>
      </c>
      <c r="N97" s="10">
        <f>N62</f>
        <v>0</v>
      </c>
      <c r="O97" s="10">
        <f>O62</f>
        <v>0</v>
      </c>
      <c r="P97" s="10">
        <f>P62</f>
        <v>0</v>
      </c>
      <c r="Q97" s="10">
        <f>Q62</f>
        <v>0</v>
      </c>
      <c r="S97" s="10"/>
      <c r="T97" s="10">
        <f>T62</f>
        <v>0.15045833389124302</v>
      </c>
      <c r="U97" s="10">
        <f>U62</f>
        <v>0.37114949115811857</v>
      </c>
      <c r="V97" s="10">
        <f>V62</f>
        <v>0.3202321197044784</v>
      </c>
      <c r="W97" s="10">
        <f>W62</f>
        <v>0.2522654525821077</v>
      </c>
      <c r="X97" s="10">
        <f>X62</f>
        <v>0</v>
      </c>
      <c r="Y97" s="10">
        <f>Y62</f>
        <v>0</v>
      </c>
    </row>
    <row r="98">
      <c r="B98" t="s" s="9">
        <v>240</v>
      </c>
      <c r="C98" s="10"/>
      <c r="D98" s="10">
        <f>D63</f>
        <v>0.8414383561643836</v>
      </c>
      <c r="E98" s="10">
        <f>E63</f>
        <v>1.625</v>
      </c>
      <c r="F98" s="10">
        <f>F63</f>
        <v>0.8124999999999999</v>
      </c>
      <c r="G98" s="10">
        <f>G63</f>
        <v>0.8124999999999999</v>
      </c>
      <c r="H98" s="10">
        <f>H63</f>
        <v>0.8124999999999999</v>
      </c>
      <c r="I98" s="10">
        <f>I63</f>
        <v>0.8124999999999999</v>
      </c>
      <c r="J98" s="10"/>
      <c r="K98" s="10"/>
      <c r="L98" s="10">
        <f>L63</f>
        <v>0.8414383561643836</v>
      </c>
      <c r="M98" s="10">
        <f>M63</f>
        <v>1.625</v>
      </c>
      <c r="N98" s="10">
        <f>N63</f>
        <v>0.8124999999999999</v>
      </c>
      <c r="O98" s="10">
        <f>O63</f>
        <v>0.8124999999999999</v>
      </c>
      <c r="P98" s="10">
        <f>P63</f>
        <v>0.8124999999999999</v>
      </c>
      <c r="Q98" s="10">
        <f>Q63</f>
        <v>0.8124999999999999</v>
      </c>
      <c r="S98" s="10"/>
      <c r="T98" s="10">
        <f>T63</f>
        <v>0.8324053920481304</v>
      </c>
      <c r="U98" s="10">
        <f>U63</f>
        <v>1.6043929321602974</v>
      </c>
      <c r="V98" s="10">
        <f>V63</f>
        <v>1.6074018117264353</v>
      </c>
      <c r="W98" s="10">
        <f>W63</f>
        <v>0.8052821331628772</v>
      </c>
      <c r="X98" s="10">
        <f>X63</f>
        <v>0.8124999999999999</v>
      </c>
      <c r="Y98" s="10">
        <f>Y63</f>
        <v>0.8124999999999999</v>
      </c>
    </row>
    <row r="99">
      <c r="B99" t="s" s="9">
        <v>613</v>
      </c>
      <c r="C99" s="10"/>
      <c r="D99" s="10">
        <f>INDEX('Rate Cases'!$D$76:$I$76,MATCH(D$6,'Rate Cases'!$D$52:$I$52,0))</f>
        <v>0</v>
      </c>
      <c r="E99" s="10">
        <f>INDEX('Rate Cases'!$D$76:$I$76,MATCH(E$6,'Rate Cases'!$D$52:$I$52,0))</f>
        <v>0</v>
      </c>
      <c r="F99" s="10">
        <f>INDEX('Rate Cases'!$D$76:$I$76,MATCH(F$6,'Rate Cases'!$D$52:$I$52,0))</f>
        <v>0</v>
      </c>
      <c r="G99" s="10">
        <f>INDEX('Rate Cases'!$D$76:$I$76,MATCH(G$6,'Rate Cases'!$D$52:$I$52,0))</f>
        <v>0</v>
      </c>
      <c r="H99" s="10">
        <f>INDEX('Rate Cases'!$D$76:$I$76,MATCH(H$6,'Rate Cases'!$D$52:$I$52,0))</f>
        <v>0</v>
      </c>
      <c r="I99" s="10">
        <f>INDEX('Rate Cases'!$D$76:$I$76,MATCH(I$6,'Rate Cases'!$D$52:$I$52,0))</f>
        <v>0</v>
      </c>
      <c r="J99" s="10"/>
      <c r="K99" s="10"/>
      <c r="L99" s="10">
        <f>INDEX('Rate Cases'!$D$76:$I$76,MATCH(L$6,'Rate Cases'!$D$52:$I$52,0))</f>
        <v>0</v>
      </c>
      <c r="M99" s="10">
        <f>INDEX('Rate Cases'!$D$76:$I$76,MATCH(M$6,'Rate Cases'!$D$52:$I$52,0))</f>
        <v>0</v>
      </c>
      <c r="N99" s="10">
        <f>INDEX('Rate Cases'!$D$76:$I$76,MATCH(N$6,'Rate Cases'!$D$52:$I$52,0))</f>
        <v>0</v>
      </c>
      <c r="O99" s="10">
        <f>INDEX('Rate Cases'!$D$76:$I$76,MATCH(O$6,'Rate Cases'!$D$52:$I$52,0))</f>
        <v>0</v>
      </c>
      <c r="P99" s="10">
        <f>INDEX('Rate Cases'!$D$76:$I$76,MATCH(P$6,'Rate Cases'!$D$52:$I$52,0))</f>
        <v>0</v>
      </c>
      <c r="Q99" s="10">
        <f>INDEX('Rate Cases'!$D$76:$I$76,MATCH(Q$6,'Rate Cases'!$D$52:$I$52,0))</f>
        <v>0</v>
      </c>
      <c r="S99" s="10"/>
      <c r="T99" s="10">
        <f>INDEX('Rate Cases'!$D$76:$I$76,MATCH(T$6,'Rate Cases'!$D$52:$I$52,0))</f>
        <v>0</v>
      </c>
      <c r="U99" s="10">
        <f>INDEX('Rate Cases'!$D$76:$I$76,MATCH(U$6,'Rate Cases'!$D$52:$I$52,0))</f>
        <v>0</v>
      </c>
      <c r="V99" s="10">
        <f>INDEX('Rate Cases'!$D$76:$I$76,MATCH(V$6,'Rate Cases'!$D$52:$I$52,0))</f>
        <v>0</v>
      </c>
      <c r="W99" s="10">
        <f>INDEX('Rate Cases'!$D$76:$I$76,MATCH(W$6,'Rate Cases'!$D$52:$I$52,0))</f>
        <v>0</v>
      </c>
      <c r="X99" s="10">
        <f>INDEX('Rate Cases'!$D$76:$I$76,MATCH(X$6,'Rate Cases'!$D$52:$I$52,0))</f>
        <v>0</v>
      </c>
      <c r="Y99" s="10">
        <f>INDEX('Rate Cases'!$D$76:$I$76,MATCH(Y$6,'Rate Cases'!$D$52:$I$52,0))</f>
        <v>0</v>
      </c>
    </row>
    <row r="100">
      <c r="B100" t="s" s="9">
        <v>283</v>
      </c>
      <c r="C100" s="10"/>
      <c r="D100" s="10">
        <f>D87</f>
        <v>0.6780821917808219</v>
      </c>
      <c r="E100" s="10">
        <f>E87</f>
        <v>3.7945205479452055</v>
      </c>
      <c r="F100" s="10">
        <f>F87</f>
        <v>4.918032786885246</v>
      </c>
      <c r="G100" s="10">
        <f>G87</f>
        <v>0</v>
      </c>
      <c r="H100" s="10">
        <f>H87</f>
        <v>0</v>
      </c>
      <c r="I100" s="10">
        <f>I87</f>
        <v>0</v>
      </c>
      <c r="J100" s="10"/>
      <c r="K100" s="10"/>
      <c r="L100" s="10">
        <f>L87</f>
        <v>0.6780821917808219</v>
      </c>
      <c r="M100" s="10">
        <f>M87</f>
        <v>3.7945205479452055</v>
      </c>
      <c r="N100" s="10">
        <f>N87</f>
        <v>4.918032786885246</v>
      </c>
      <c r="O100" s="10">
        <f>O87</f>
        <v>0</v>
      </c>
      <c r="P100" s="10">
        <f>P87</f>
        <v>0</v>
      </c>
      <c r="Q100" s="10">
        <f>Q87</f>
        <v>0</v>
      </c>
      <c r="S100" s="10"/>
      <c r="T100" s="10">
        <f>T87</f>
        <v>0.6780821917808219</v>
      </c>
      <c r="U100" s="10">
        <f>U87</f>
        <v>3.7945205479452055</v>
      </c>
      <c r="V100" s="10">
        <f>V87</f>
        <v>4.918032786885246</v>
      </c>
      <c r="W100" s="10">
        <f>W87</f>
        <v>0</v>
      </c>
      <c r="X100" s="10">
        <f>X87</f>
        <v>0</v>
      </c>
      <c r="Y100" s="10">
        <f>Y87</f>
        <v>0</v>
      </c>
    </row>
    <row r="101">
      <c r="B101" t="s" s="41">
        <v>284</v>
      </c>
      <c r="C101" s="42"/>
      <c r="D101" s="42">
        <f>SUM(D95:D100)</f>
        <v>87.05266708154969</v>
      </c>
      <c r="E101" s="42">
        <f>SUM(E95:E100)</f>
        <v>191.05438753749908</v>
      </c>
      <c r="F101" s="42">
        <f>SUM(F95:F100)</f>
        <v>220.77962336453433</v>
      </c>
      <c r="G101" s="42">
        <f>SUM(G95:G100)</f>
        <v>236.3845456435771</v>
      </c>
      <c r="H101" s="42">
        <f>SUM(H95:H100)</f>
        <v>224.61186090868486</v>
      </c>
      <c r="I101" s="42">
        <f>SUM(I95:I100)</f>
        <v>209.24407088217347</v>
      </c>
      <c r="J101" s="10"/>
      <c r="K101" s="42"/>
      <c r="L101" s="42">
        <f>SUM(L95:L100)</f>
        <v>87.05266708154969</v>
      </c>
      <c r="M101" s="42">
        <f>SUM(M95:M100)</f>
        <v>189.7487328953606</v>
      </c>
      <c r="N101" s="42">
        <f>SUM(N95:N100)</f>
        <v>214.25672734419317</v>
      </c>
      <c r="O101" s="42">
        <f>SUM(O95:O100)</f>
        <v>218.1729280123536</v>
      </c>
      <c r="P101" s="42">
        <f>SUM(P95:P100)</f>
        <v>188.6703888855945</v>
      </c>
      <c r="Q101" s="42">
        <f>SUM(Q95:Q100)</f>
        <v>147.22424196624956</v>
      </c>
      <c r="S101" s="42"/>
      <c r="T101" s="42">
        <f>SUM(T95:T100)</f>
        <v>87.19409245132466</v>
      </c>
      <c r="U101" s="42">
        <f>SUM(U95:U100)</f>
        <v>192.88109433383465</v>
      </c>
      <c r="V101" s="42">
        <f>SUM(V95:V100)</f>
        <v>232.85546312969106</v>
      </c>
      <c r="W101" s="42">
        <f>SUM(W95:W100)</f>
        <v>248.89794530752764</v>
      </c>
      <c r="X101" s="42">
        <f>SUM(X95:X100)</f>
        <v>244.72136665140457</v>
      </c>
      <c r="Y101" s="42">
        <f>SUM(Y95:Y100)</f>
        <v>239.55171360628398</v>
      </c>
    </row>
    <row r="102">
      <c r="B102" t="s" s="9">
        <v>285</v>
      </c>
      <c r="C102" s="10"/>
      <c r="D102" s="10">
        <f>D67+D78</f>
        <v>35.17975940160628</v>
      </c>
      <c r="E102" s="10">
        <f>E67+E78</f>
        <v>68.69876612515387</v>
      </c>
      <c r="F102" s="10">
        <f>F67+F78</f>
        <v>31.58228550594491</v>
      </c>
      <c r="G102" s="10">
        <f>G67+G78</f>
        <v>0</v>
      </c>
      <c r="H102" s="10">
        <f>H67+H78</f>
        <v>0</v>
      </c>
      <c r="I102" s="10">
        <f>I67+I78</f>
        <v>0</v>
      </c>
      <c r="J102" s="10"/>
      <c r="K102" s="10"/>
      <c r="L102" s="10">
        <f>L67+L78</f>
        <v>35.17975940160628</v>
      </c>
      <c r="M102" s="10">
        <f>M67+M78</f>
        <v>68.21557638631272</v>
      </c>
      <c r="N102" s="10">
        <f>N67+N78</f>
        <v>30.624327656011</v>
      </c>
      <c r="O102" s="10">
        <f>O67+O78</f>
        <v>0</v>
      </c>
      <c r="P102" s="10">
        <f>P67+P78</f>
        <v>0</v>
      </c>
      <c r="Q102" s="10">
        <f>Q67+Q78</f>
        <v>0</v>
      </c>
      <c r="S102" s="10"/>
      <c r="T102" s="10">
        <f>T67+T78</f>
        <v>35.17975940160628</v>
      </c>
      <c r="U102" s="10">
        <f>U67+U78</f>
        <v>69.24505720004066</v>
      </c>
      <c r="V102" s="10">
        <f>V67+V78</f>
        <v>34.11216661777078</v>
      </c>
      <c r="W102" s="10">
        <f>W67+W78</f>
        <v>0</v>
      </c>
      <c r="X102" s="10">
        <f>X67+X78</f>
        <v>0</v>
      </c>
      <c r="Y102" s="10">
        <f>Y67+Y78</f>
        <v>0</v>
      </c>
    </row>
    <row r="103">
      <c r="B103" t="s" s="9">
        <v>286</v>
      </c>
      <c r="C103" s="10"/>
      <c r="D103" s="10">
        <f>-D91</f>
        <v>3.9945205479452053</v>
      </c>
      <c r="E103" s="10">
        <f>-E91</f>
        <v>7.714285714285714</v>
      </c>
      <c r="F103" s="10">
        <f>-F91</f>
        <v>7.714285714285714</v>
      </c>
      <c r="G103" s="10">
        <f>-G91</f>
        <v>7.714285714285714</v>
      </c>
      <c r="H103" s="10">
        <f>-H91</f>
        <v>7.714285714285714</v>
      </c>
      <c r="I103" s="10">
        <f>-I91</f>
        <v>7.714285714285714</v>
      </c>
      <c r="J103" s="10"/>
      <c r="K103" s="10"/>
      <c r="L103" s="10">
        <f>-L91</f>
        <v>3.9945205479452053</v>
      </c>
      <c r="M103" s="10">
        <f>-M91</f>
        <v>7.714285714285714</v>
      </c>
      <c r="N103" s="10">
        <f>-N91</f>
        <v>7.714285714285714</v>
      </c>
      <c r="O103" s="10">
        <f>-O91</f>
        <v>7.714285714285714</v>
      </c>
      <c r="P103" s="10">
        <f>-P91</f>
        <v>7.714285714285714</v>
      </c>
      <c r="Q103" s="10">
        <f>-Q91</f>
        <v>7.714285714285714</v>
      </c>
      <c r="S103" s="10"/>
      <c r="T103" s="10">
        <f>-T91</f>
        <v>3.9945205479452053</v>
      </c>
      <c r="U103" s="10">
        <f>-U91</f>
        <v>7.714285714285714</v>
      </c>
      <c r="V103" s="10">
        <f>-V91</f>
        <v>7.714285714285714</v>
      </c>
      <c r="W103" s="10">
        <f>-W91</f>
        <v>7.714285714285714</v>
      </c>
      <c r="X103" s="10">
        <f>-X91</f>
        <v>7.714285714285714</v>
      </c>
      <c r="Y103" s="10">
        <f>-Y91</f>
        <v>7.714285714285714</v>
      </c>
    </row>
    <row r="104">
      <c r="B104" t="s" s="41">
        <v>287</v>
      </c>
      <c r="C104" s="42"/>
      <c r="D104" s="42">
        <f>SUM(D101:D103)</f>
        <v>126.22694703110116</v>
      </c>
      <c r="E104" s="42">
        <f>SUM(E101:E103)</f>
        <v>267.46743937693867</v>
      </c>
      <c r="F104" s="42">
        <f>SUM(F101:F103)</f>
        <v>260.07619458476495</v>
      </c>
      <c r="G104" s="42">
        <f>SUM(G101:G103)</f>
        <v>244.09883135786282</v>
      </c>
      <c r="H104" s="42">
        <f>SUM(H101:H103)</f>
        <v>232.32614662297058</v>
      </c>
      <c r="I104" s="42">
        <f>SUM(I101:I103)</f>
        <v>216.9583565964592</v>
      </c>
      <c r="J104" s="10"/>
      <c r="K104" s="42"/>
      <c r="L104" s="42">
        <f>SUM(L101:L103)</f>
        <v>126.22694703110116</v>
      </c>
      <c r="M104" s="42">
        <f>SUM(M101:M103)</f>
        <v>265.67859499595903</v>
      </c>
      <c r="N104" s="42">
        <f>SUM(N101:N103)</f>
        <v>252.59534071448988</v>
      </c>
      <c r="O104" s="42">
        <f>SUM(O101:O103)</f>
        <v>225.88721372663932</v>
      </c>
      <c r="P104" s="42">
        <f>SUM(P101:P103)</f>
        <v>196.3846745998802</v>
      </c>
      <c r="Q104" s="42">
        <f>SUM(Q101:Q103)</f>
        <v>154.9385276805353</v>
      </c>
      <c r="S104" s="42"/>
      <c r="T104" s="42">
        <f>SUM(T101:T103)</f>
        <v>126.36837240087615</v>
      </c>
      <c r="U104" s="42">
        <f>SUM(U101:U103)</f>
        <v>269.84043724816104</v>
      </c>
      <c r="V104" s="42">
        <f>SUM(V101:V103)</f>
        <v>274.68191546174756</v>
      </c>
      <c r="W104" s="42">
        <f>SUM(W101:W103)</f>
        <v>256.61223102181333</v>
      </c>
      <c r="X104" s="42">
        <f>SUM(X101:X103)</f>
        <v>252.4356523656903</v>
      </c>
      <c r="Y104" s="42">
        <f>SUM(Y101:Y103)</f>
        <v>247.2659993205697</v>
      </c>
    </row>
    <row r="105">
      <c r="B105" t="s" s="9">
        <v>288</v>
      </c>
      <c r="C105" s="10"/>
      <c r="D105" s="10">
        <f>'Term Sheet'!$C$14*AVERAGE(D108,D110)*D35*D7</f>
        <v>1.5228268975829462</v>
      </c>
      <c r="E105" s="10">
        <f>'Term Sheet'!$C$14*AVERAGE(E108,E110)*E35*E7</f>
        <v>3.461060384666202</v>
      </c>
      <c r="F105" s="10">
        <f>'Term Sheet'!$C$14*AVERAGE(F108,F110)*F35*F7</f>
        <v>3.4488299887704916</v>
      </c>
      <c r="G105" s="10">
        <f>'Term Sheet'!$C$14*AVERAGE(G108,G110)*G35*G7</f>
        <v>3.365651149294521</v>
      </c>
      <c r="H105" s="10">
        <f>'Term Sheet'!$C$14*AVERAGE(H108,H110)*H35*H7</f>
        <v>3.31290096910274</v>
      </c>
      <c r="I105" s="10">
        <f>'Term Sheet'!$C$14*AVERAGE(I108,I110)*I35*I7</f>
        <v>3.3058703508082194</v>
      </c>
      <c r="J105" s="10"/>
      <c r="K105" s="10"/>
      <c r="L105" s="10">
        <f>'Term Sheet'!$C$14*AVERAGE(L108,L110)*L35*L7</f>
        <v>1.5604609414458124</v>
      </c>
      <c r="M105" s="10">
        <f>'Term Sheet'!$C$14*AVERAGE(M108,M110)*M35*M7</f>
        <v>3.5465945307568028</v>
      </c>
      <c r="N105" s="10">
        <f>'Term Sheet'!$C$14*AVERAGE(N108,N110)*N35*N7</f>
        <v>3.4488299887704916</v>
      </c>
      <c r="O105" s="10">
        <f>'Term Sheet'!$C$14*AVERAGE(O108,O110)*O35*O7</f>
        <v>3.365651149294521</v>
      </c>
      <c r="P105" s="10">
        <f>'Term Sheet'!$C$14*AVERAGE(P108,P110)*P35*P7</f>
        <v>3.31290096910274</v>
      </c>
      <c r="Q105" s="10">
        <f>'Term Sheet'!$C$14*AVERAGE(Q108,Q110)*Q35*Q7</f>
        <v>3.3058703508082194</v>
      </c>
      <c r="S105" s="10"/>
      <c r="T105" s="10">
        <f>'Term Sheet'!$C$14*AVERAGE(T108,T110)*T35*T7</f>
        <v>1.4867409761095887</v>
      </c>
      <c r="U105" s="10">
        <f>'Term Sheet'!$C$14*AVERAGE(U108,U110)*U35*U7</f>
        <v>3.379044790212329</v>
      </c>
      <c r="V105" s="10">
        <f>'Term Sheet'!$C$14*AVERAGE(V108,V110)*V35*V7</f>
        <v>3.4488299887704916</v>
      </c>
      <c r="W105" s="10">
        <f>'Term Sheet'!$C$14*AVERAGE(W108,W110)*W35*W7</f>
        <v>3.365651149294521</v>
      </c>
      <c r="X105" s="10">
        <f>'Term Sheet'!$C$14*AVERAGE(X108,X110)*X35*X7</f>
        <v>3.31290096910274</v>
      </c>
      <c r="Y105" s="10">
        <f>'Term Sheet'!$C$14*AVERAGE(Y108,Y110)*Y35*Y7</f>
        <v>3.3058703508082194</v>
      </c>
    </row>
    <row r="106">
      <c r="S106"/>
      <c r="T106"/>
      <c r="U106"/>
      <c r="V106"/>
      <c r="W106"/>
      <c r="X106"/>
      <c r="Y106"/>
    </row>
    <row r="107">
      <c r="B107" t="s" s="34">
        <v>289</v>
      </c>
      <c r="C107" s="34"/>
      <c r="D107" s="34"/>
      <c r="E107" s="34"/>
      <c r="F107" s="34"/>
      <c r="G107" s="34"/>
      <c r="H107" s="34"/>
      <c r="I107" s="34"/>
      <c r="J107" s="34"/>
      <c r="K107" s="34"/>
      <c r="L107" s="34"/>
      <c r="M107" s="34"/>
      <c r="N107" s="34"/>
      <c r="O107" s="34"/>
      <c r="P107" s="34"/>
      <c r="Q107" s="34"/>
      <c r="R107" s="34"/>
      <c r="S107" s="34"/>
      <c r="T107" s="34"/>
      <c r="U107" s="34"/>
      <c r="V107" s="34"/>
      <c r="W107" s="34"/>
      <c r="X107" s="34"/>
      <c r="Y107" s="34"/>
    </row>
    <row r="108">
      <c r="B108" t="s" s="9">
        <v>290</v>
      </c>
      <c r="C108" s="10"/>
      <c r="D108" s="10">
        <f>C110</f>
        <v>75</v>
      </c>
      <c r="E108" s="10">
        <f>D110</f>
        <v>78.64077422226413</v>
      </c>
      <c r="F108" s="10">
        <f>E110</f>
        <v>75</v>
      </c>
      <c r="G108" s="10">
        <f>F110</f>
        <v>75</v>
      </c>
      <c r="H108" s="10">
        <f>G110</f>
        <v>75</v>
      </c>
      <c r="I108" s="10">
        <f>H110</f>
        <v>75</v>
      </c>
      <c r="J108" s="10"/>
      <c r="K108" s="10"/>
      <c r="L108" s="10">
        <f>K110</f>
        <v>75</v>
      </c>
      <c r="M108" s="10">
        <f>L110</f>
        <v>82.43774132691858</v>
      </c>
      <c r="N108" s="10">
        <f>M110</f>
        <v>75</v>
      </c>
      <c r="O108" s="10">
        <f>N110</f>
        <v>75</v>
      </c>
      <c r="P108" s="10">
        <f>O110</f>
        <v>75</v>
      </c>
      <c r="Q108" s="10">
        <f>P110</f>
        <v>75</v>
      </c>
      <c r="S108" s="10"/>
      <c r="T108" s="10">
        <f>S110</f>
        <v>75</v>
      </c>
      <c r="U108" s="10">
        <f>T110</f>
        <v>75</v>
      </c>
      <c r="V108" s="10">
        <f>U110</f>
        <v>75</v>
      </c>
      <c r="W108" s="10">
        <f>V110</f>
        <v>74.99999999999999</v>
      </c>
      <c r="X108" s="10">
        <f>W110</f>
        <v>75</v>
      </c>
      <c r="Y108" s="10">
        <f>X110</f>
        <v>75</v>
      </c>
    </row>
    <row r="109">
      <c r="B109" t="s" s="9">
        <v>291</v>
      </c>
      <c r="C109" s="10"/>
      <c r="D109" s="10">
        <f>D110-D108</f>
        <v>3.6407742222641275</v>
      </c>
      <c r="E109" s="10">
        <f>E110-E108</f>
        <v>-3.6407742222641275</v>
      </c>
      <c r="F109" s="10">
        <f>F110-F108</f>
        <v>0</v>
      </c>
      <c r="G109" s="10">
        <f>G110-G108</f>
        <v>0</v>
      </c>
      <c r="H109" s="10">
        <f>H110-H108</f>
        <v>0</v>
      </c>
      <c r="I109" s="10">
        <f>I110-I108</f>
        <v>0</v>
      </c>
      <c r="J109" s="10"/>
      <c r="K109" s="10"/>
      <c r="L109" s="10">
        <f>L110-L108</f>
        <v>7.437741326918584</v>
      </c>
      <c r="M109" s="10">
        <f>M110-M108</f>
        <v>-7.437741326918584</v>
      </c>
      <c r="N109" s="10">
        <f>N110-N108</f>
        <v>0</v>
      </c>
      <c r="O109" s="10">
        <f>O110-O108</f>
        <v>0</v>
      </c>
      <c r="P109" s="10">
        <f>P110-P108</f>
        <v>0</v>
      </c>
      <c r="Q109" s="10">
        <f>Q110-Q108</f>
        <v>0</v>
      </c>
      <c r="S109" s="10"/>
      <c r="T109" s="10">
        <f>T110-T108</f>
        <v>0</v>
      </c>
      <c r="U109" s="10">
        <f>U110-U108</f>
        <v>0</v>
      </c>
      <c r="V109" s="10">
        <f>V110-V108</f>
        <v>0</v>
      </c>
      <c r="W109" s="10">
        <f>W110-W108</f>
        <v>0</v>
      </c>
      <c r="X109" s="10">
        <f>X110-X108</f>
        <v>0</v>
      </c>
      <c r="Y109" s="10">
        <f>Y110-Y108</f>
        <v>0</v>
      </c>
    </row>
    <row r="110">
      <c r="B110" t="s" s="41">
        <v>292</v>
      </c>
      <c r="C110" s="46">
        <f>'Term Sheet'!$C$11</f>
        <v>75</v>
      </c>
      <c r="D110" s="42">
        <f>'Term Sheet'!$C$10+D54</f>
        <v>78.64077422226413</v>
      </c>
      <c r="E110" s="42">
        <f>'Term Sheet'!$C$10+E54</f>
        <v>75</v>
      </c>
      <c r="F110" s="42">
        <f>'Term Sheet'!$C$10+F54</f>
        <v>75</v>
      </c>
      <c r="G110" s="42">
        <f>'Term Sheet'!$C$10+G54</f>
        <v>75</v>
      </c>
      <c r="H110" s="42">
        <f>'Term Sheet'!$C$10+H54</f>
        <v>75</v>
      </c>
      <c r="I110" s="42">
        <f>'Term Sheet'!$C$10+I54</f>
        <v>75</v>
      </c>
      <c r="J110" s="10"/>
      <c r="K110" s="46">
        <f>'Term Sheet'!$C$11</f>
        <v>75</v>
      </c>
      <c r="L110" s="42">
        <f>'Term Sheet'!$C$10+L54</f>
        <v>82.43774132691858</v>
      </c>
      <c r="M110" s="42">
        <f>'Term Sheet'!$C$10+M54</f>
        <v>75</v>
      </c>
      <c r="N110" s="42">
        <f>'Term Sheet'!$C$10+N54</f>
        <v>75</v>
      </c>
      <c r="O110" s="42">
        <f>'Term Sheet'!$C$10+O54</f>
        <v>75</v>
      </c>
      <c r="P110" s="42">
        <f>'Term Sheet'!$C$10+P54</f>
        <v>75</v>
      </c>
      <c r="Q110" s="42">
        <f>'Term Sheet'!$C$10+Q54</f>
        <v>75</v>
      </c>
      <c r="S110" s="46">
        <f>'Term Sheet'!$C$11</f>
        <v>75</v>
      </c>
      <c r="T110" s="42">
        <f>'Term Sheet'!$C$10+T54</f>
        <v>75</v>
      </c>
      <c r="U110" s="42">
        <f>'Term Sheet'!$C$10+U54</f>
        <v>75</v>
      </c>
      <c r="V110" s="42">
        <f>'Term Sheet'!$C$10+V54</f>
        <v>75</v>
      </c>
      <c r="W110" s="42">
        <f>'Term Sheet'!$C$10+W54</f>
        <v>75</v>
      </c>
      <c r="X110" s="42">
        <f>'Term Sheet'!$C$10+X54</f>
        <v>75</v>
      </c>
      <c r="Y110" s="42">
        <f>'Term Sheet'!$C$10+Y54</f>
        <v>75</v>
      </c>
    </row>
    <row r="111">
      <c r="S111"/>
      <c r="T111"/>
      <c r="U111"/>
      <c r="V111"/>
      <c r="W111"/>
      <c r="X111"/>
      <c r="Y111"/>
    </row>
    <row r="112">
      <c r="B112" t="s" s="34">
        <v>293</v>
      </c>
      <c r="C112" s="34"/>
      <c r="D112" s="34"/>
      <c r="E112" s="34"/>
      <c r="F112" s="34"/>
      <c r="G112" s="34"/>
      <c r="H112" s="34"/>
      <c r="I112" s="34"/>
      <c r="J112" s="34"/>
      <c r="K112" s="34"/>
      <c r="L112" s="34"/>
      <c r="M112" s="34"/>
      <c r="N112" s="34"/>
      <c r="O112" s="34"/>
      <c r="P112" s="34"/>
      <c r="Q112" s="34"/>
      <c r="R112" s="34"/>
      <c r="S112" s="34"/>
      <c r="T112" s="34"/>
      <c r="U112" s="34"/>
      <c r="V112" s="34"/>
      <c r="W112" s="34"/>
      <c r="X112" s="34"/>
      <c r="Y112" s="34"/>
    </row>
    <row r="113">
      <c r="B113" t="s" s="9">
        <v>294</v>
      </c>
      <c r="C113" s="10">
        <f>C60</f>
        <v>0</v>
      </c>
      <c r="D113" s="10">
        <f>D60</f>
        <v>0</v>
      </c>
      <c r="E113" s="10">
        <f>E60</f>
        <v>0</v>
      </c>
      <c r="F113" s="10">
        <f>F60</f>
        <v>0</v>
      </c>
      <c r="G113" s="10">
        <f>G60</f>
        <v>0</v>
      </c>
      <c r="H113" s="10">
        <f>H60</f>
        <v>0</v>
      </c>
      <c r="I113" s="10">
        <f>I60</f>
        <v>0</v>
      </c>
      <c r="J113" s="10"/>
      <c r="K113" s="10">
        <f>K60</f>
        <v>0</v>
      </c>
      <c r="L113" s="10">
        <f>L60</f>
        <v>0</v>
      </c>
      <c r="M113" s="10">
        <f>M60</f>
        <v>0</v>
      </c>
      <c r="N113" s="10">
        <f>N60</f>
        <v>0</v>
      </c>
      <c r="O113" s="10">
        <f>O60</f>
        <v>0</v>
      </c>
      <c r="P113" s="10">
        <f>P60</f>
        <v>0</v>
      </c>
      <c r="Q113" s="10">
        <f>Q60</f>
        <v>0</v>
      </c>
      <c r="S113" s="10">
        <f>S60</f>
        <v>0</v>
      </c>
      <c r="T113" s="10">
        <f>T60</f>
        <v>6.977845296153275</v>
      </c>
      <c r="U113" s="10">
        <f>U60</f>
        <v>1.2649818397277128</v>
      </c>
      <c r="V113" s="10">
        <f>V60</f>
        <v>5.774293469698132</v>
      </c>
      <c r="W113" s="10">
        <f>W60</f>
        <v>0</v>
      </c>
      <c r="X113" s="10">
        <f>X60</f>
        <v>0</v>
      </c>
      <c r="Y113" s="10">
        <f>Y60</f>
        <v>0</v>
      </c>
    </row>
    <row r="114">
      <c r="B114" t="s" s="9">
        <v>267</v>
      </c>
      <c r="C114" s="10">
        <f>C71</f>
        <v>2700</v>
      </c>
      <c r="D114" s="10">
        <f>D71</f>
        <v>2735.179759401606</v>
      </c>
      <c r="E114" s="10">
        <f>E71</f>
        <v>2760.7215306107037</v>
      </c>
      <c r="F114" s="10">
        <f>F71</f>
        <v>2738.709451334388</v>
      </c>
      <c r="G114" s="10">
        <f>G71</f>
        <v>2653.4760852895683</v>
      </c>
      <c r="H114" s="10">
        <f>H71</f>
        <v>2510.8059791345954</v>
      </c>
      <c r="I114" s="10">
        <f>I71</f>
        <v>2304.064256695177</v>
      </c>
      <c r="J114" s="10"/>
      <c r="K114" s="10">
        <f>K71</f>
        <v>2700</v>
      </c>
      <c r="L114" s="10">
        <f>L71</f>
        <v>2735.179759401606</v>
      </c>
      <c r="M114" s="10">
        <f>M71</f>
        <v>2722.0663515034125</v>
      </c>
      <c r="N114" s="10">
        <f>N71</f>
        <v>2610.5551993024296</v>
      </c>
      <c r="O114" s="10">
        <f>O71</f>
        <v>2364.7709390795653</v>
      </c>
      <c r="P114" s="10">
        <f>P71</f>
        <v>1970.1437018443035</v>
      </c>
      <c r="Q114" s="10">
        <f>Q71</f>
        <v>1412.0384483242742</v>
      </c>
      <c r="S114" s="10">
        <f>S71</f>
        <v>2700</v>
      </c>
      <c r="T114" s="10">
        <f>T71</f>
        <v>2735.179759401606</v>
      </c>
      <c r="U114" s="10">
        <f>U71</f>
        <v>2804.424816601647</v>
      </c>
      <c r="V114" s="10">
        <f>V71</f>
        <v>2838.536983219418</v>
      </c>
      <c r="W114" s="10">
        <f>W71</f>
        <v>2834.4680812631236</v>
      </c>
      <c r="X114" s="10">
        <f>X71</f>
        <v>2793.8508749997773</v>
      </c>
      <c r="Y114" s="10">
        <f>Y71</f>
        <v>2721.140586481432</v>
      </c>
    </row>
    <row r="115">
      <c r="B115" t="s" s="9">
        <v>272</v>
      </c>
      <c r="C115" s="10">
        <f>C82</f>
        <v>0</v>
      </c>
      <c r="D115" s="10">
        <f>D82</f>
        <v>0</v>
      </c>
      <c r="E115" s="10">
        <f>E82</f>
        <v>0</v>
      </c>
      <c r="F115" s="10">
        <f>F82</f>
        <v>0</v>
      </c>
      <c r="G115" s="10">
        <f>G82</f>
        <v>0</v>
      </c>
      <c r="H115" s="10">
        <f>H82</f>
        <v>0</v>
      </c>
      <c r="I115" s="10">
        <f>I82</f>
        <v>0</v>
      </c>
      <c r="J115" s="10"/>
      <c r="K115" s="10">
        <f>K82</f>
        <v>0</v>
      </c>
      <c r="L115" s="10">
        <f>L82</f>
        <v>0</v>
      </c>
      <c r="M115" s="10">
        <f>M82</f>
        <v>0</v>
      </c>
      <c r="N115" s="10">
        <f>N82</f>
        <v>0</v>
      </c>
      <c r="O115" s="10">
        <f>O82</f>
        <v>0</v>
      </c>
      <c r="P115" s="10">
        <f>P82</f>
        <v>0</v>
      </c>
      <c r="Q115" s="10">
        <f>Q82</f>
        <v>0</v>
      </c>
      <c r="S115" s="10">
        <f>S82</f>
        <v>0</v>
      </c>
      <c r="T115" s="10">
        <f>T82</f>
        <v>0</v>
      </c>
      <c r="U115" s="10">
        <f>U82</f>
        <v>0</v>
      </c>
      <c r="V115" s="10">
        <f>V82</f>
        <v>0</v>
      </c>
      <c r="W115" s="10">
        <f>W82</f>
        <v>0</v>
      </c>
      <c r="X115" s="10">
        <f>X82</f>
        <v>0</v>
      </c>
      <c r="Y115" s="10">
        <f>Y82</f>
        <v>0</v>
      </c>
    </row>
    <row r="116">
      <c r="B116" t="s" s="41">
        <v>295</v>
      </c>
      <c r="C116" s="42">
        <f>SUM(C113:C115)</f>
        <v>2700</v>
      </c>
      <c r="D116" s="42">
        <f>SUM(D113:D115)</f>
        <v>2735.179759401606</v>
      </c>
      <c r="E116" s="42">
        <f>SUM(E113:E115)</f>
        <v>2760.7215306107037</v>
      </c>
      <c r="F116" s="42">
        <f>SUM(F113:F115)</f>
        <v>2738.709451334388</v>
      </c>
      <c r="G116" s="42">
        <f>SUM(G113:G115)</f>
        <v>2653.4760852895683</v>
      </c>
      <c r="H116" s="42">
        <f>SUM(H113:H115)</f>
        <v>2510.8059791345954</v>
      </c>
      <c r="I116" s="42">
        <f>SUM(I113:I115)</f>
        <v>2304.064256695177</v>
      </c>
      <c r="J116" s="10"/>
      <c r="K116" s="42">
        <f>SUM(K113:K115)</f>
        <v>2700</v>
      </c>
      <c r="L116" s="42">
        <f>SUM(L113:L115)</f>
        <v>2735.179759401606</v>
      </c>
      <c r="M116" s="42">
        <f>SUM(M113:M115)</f>
        <v>2722.0663515034125</v>
      </c>
      <c r="N116" s="42">
        <f>SUM(N113:N115)</f>
        <v>2610.5551993024296</v>
      </c>
      <c r="O116" s="42">
        <f>SUM(O113:O115)</f>
        <v>2364.7709390795653</v>
      </c>
      <c r="P116" s="42">
        <f>SUM(P113:P115)</f>
        <v>1970.1437018443035</v>
      </c>
      <c r="Q116" s="42">
        <f>SUM(Q113:Q115)</f>
        <v>1412.0384483242742</v>
      </c>
      <c r="S116" s="42">
        <f>SUM(S113:S115)</f>
        <v>2700</v>
      </c>
      <c r="T116" s="42">
        <f>SUM(T113:T115)</f>
        <v>2742.1576046977593</v>
      </c>
      <c r="U116" s="42">
        <f>SUM(U113:U115)</f>
        <v>2805.6897984413745</v>
      </c>
      <c r="V116" s="42">
        <f>SUM(V113:V115)</f>
        <v>2844.311276689116</v>
      </c>
      <c r="W116" s="42">
        <f>SUM(W113:W115)</f>
        <v>2834.4680812631236</v>
      </c>
      <c r="X116" s="42">
        <f>SUM(X113:X115)</f>
        <v>2793.8508749997773</v>
      </c>
      <c r="Y116" s="42">
        <f>SUM(Y113:Y115)</f>
        <v>2721.140586481432</v>
      </c>
    </row>
    <row r="117">
      <c r="B117" t="s" s="9">
        <v>296</v>
      </c>
      <c r="C117" s="10">
        <f>-C110</f>
        <v>-75</v>
      </c>
      <c r="D117" s="10">
        <f>-D110</f>
        <v>-78.64077422226413</v>
      </c>
      <c r="E117" s="10">
        <f>-E110</f>
        <v>-75</v>
      </c>
      <c r="F117" s="10">
        <f>-F110</f>
        <v>-75</v>
      </c>
      <c r="G117" s="10">
        <f>-G110</f>
        <v>-75</v>
      </c>
      <c r="H117" s="10">
        <f>-H110</f>
        <v>-75</v>
      </c>
      <c r="I117" s="10">
        <f>-I110</f>
        <v>-75</v>
      </c>
      <c r="J117" s="10"/>
      <c r="K117" s="10">
        <f>-K110</f>
        <v>-75</v>
      </c>
      <c r="L117" s="10">
        <f>-L110</f>
        <v>-82.43774132691858</v>
      </c>
      <c r="M117" s="10">
        <f>-M110</f>
        <v>-75</v>
      </c>
      <c r="N117" s="10">
        <f>-N110</f>
        <v>-75</v>
      </c>
      <c r="O117" s="10">
        <f>-O110</f>
        <v>-75</v>
      </c>
      <c r="P117" s="10">
        <f>-P110</f>
        <v>-75</v>
      </c>
      <c r="Q117" s="10">
        <f>-Q110</f>
        <v>-75</v>
      </c>
      <c r="S117" s="10">
        <f>-S110</f>
        <v>-75</v>
      </c>
      <c r="T117" s="10">
        <f>-T110</f>
        <v>-75</v>
      </c>
      <c r="U117" s="10">
        <f>-U110</f>
        <v>-75</v>
      </c>
      <c r="V117" s="10">
        <f>-V110</f>
        <v>-75</v>
      </c>
      <c r="W117" s="10">
        <f>-W110</f>
        <v>-75</v>
      </c>
      <c r="X117" s="10">
        <f>-X110</f>
        <v>-75</v>
      </c>
      <c r="Y117" s="10">
        <f>-Y110</f>
        <v>-75</v>
      </c>
    </row>
    <row r="118">
      <c r="B118" t="s" s="41">
        <v>297</v>
      </c>
      <c r="C118" s="42">
        <f>C116+C117</f>
        <v>2625</v>
      </c>
      <c r="D118" s="42">
        <f>D116+D117</f>
        <v>2656.538985179342</v>
      </c>
      <c r="E118" s="42">
        <f>E116+E117</f>
        <v>2685.7215306107037</v>
      </c>
      <c r="F118" s="42">
        <f>F116+F117</f>
        <v>2663.709451334388</v>
      </c>
      <c r="G118" s="42">
        <f>G116+G117</f>
        <v>2578.4760852895683</v>
      </c>
      <c r="H118" s="42">
        <f>H116+H117</f>
        <v>2435.8059791345954</v>
      </c>
      <c r="I118" s="42">
        <f>I116+I117</f>
        <v>2229.064256695177</v>
      </c>
      <c r="J118" s="10"/>
      <c r="K118" s="42">
        <f>K116+K117</f>
        <v>2625</v>
      </c>
      <c r="L118" s="42">
        <f>L116+L117</f>
        <v>2652.7420180746876</v>
      </c>
      <c r="M118" s="42">
        <f>M116+M117</f>
        <v>2647.0663515034125</v>
      </c>
      <c r="N118" s="42">
        <f>N116+N117</f>
        <v>2535.5551993024296</v>
      </c>
      <c r="O118" s="42">
        <f>O116+O117</f>
        <v>2289.7709390795653</v>
      </c>
      <c r="P118" s="42">
        <f>P116+P117</f>
        <v>1895.1437018443035</v>
      </c>
      <c r="Q118" s="42">
        <f>Q116+Q117</f>
        <v>1337.0384483242742</v>
      </c>
      <c r="S118" s="42">
        <f>S116+S117</f>
        <v>2625</v>
      </c>
      <c r="T118" s="42">
        <f>T116+T117</f>
        <v>2667.1576046977593</v>
      </c>
      <c r="U118" s="42">
        <f>U116+U117</f>
        <v>2730.6897984413745</v>
      </c>
      <c r="V118" s="42">
        <f>V116+V117</f>
        <v>2769.311276689116</v>
      </c>
      <c r="W118" s="42">
        <f>W116+W117</f>
        <v>2759.4680812631236</v>
      </c>
      <c r="X118" s="42">
        <f>X116+X117</f>
        <v>2718.8508749997773</v>
      </c>
      <c r="Y118" s="42">
        <f>Y116+Y117</f>
        <v>2646.140586481432</v>
      </c>
    </row>
    <row r="119">
      <c r="B119" t="s" s="9">
        <v>298</v>
      </c>
      <c r="C119" s="21">
        <f>C116/'Term Sheet'!$C$12</f>
        <v>9.624124472009838</v>
      </c>
      <c r="D119" s="21">
        <f>D116/D22</f>
        <v>8.171594536217018</v>
      </c>
      <c r="E119" s="21">
        <f>E116/E22</f>
        <v>6.980781124531923</v>
      </c>
      <c r="F119" s="21">
        <f>F116/F22</f>
        <v>6.045493841914825</v>
      </c>
      <c r="G119" s="21">
        <f>G116/G22</f>
        <v>5.160625328116097</v>
      </c>
      <c r="H119" s="21">
        <f>H116/H22</f>
        <v>4.378088830787539</v>
      </c>
      <c r="I119" s="21">
        <f>I116/I22</f>
        <v>3.622581042633327</v>
      </c>
      <c r="J119" s="21"/>
      <c r="K119" s="21">
        <f>K116/'Term Sheet'!$C$12</f>
        <v>9.624124472009838</v>
      </c>
      <c r="L119" s="21">
        <f>L116/L22</f>
        <v>8.077111523176784</v>
      </c>
      <c r="M119" s="21">
        <f>M116/M22</f>
        <v>6.499939749132801</v>
      </c>
      <c r="N119" s="21">
        <f>N116/N22</f>
        <v>5.030255291334445</v>
      </c>
      <c r="O119" s="21">
        <f>O116/O22</f>
        <v>3.722945918192565</v>
      </c>
      <c r="P119" s="21">
        <f>P116/P22</f>
        <v>2.577272099974401</v>
      </c>
      <c r="Q119" s="21">
        <f>Q116/Q22</f>
        <v>1.574669483500983</v>
      </c>
      <c r="S119" s="21">
        <f>S116/'Term Sheet'!$C$12</f>
        <v>9.624124472009838</v>
      </c>
      <c r="T119" s="21">
        <f>T116/T22</f>
        <v>8.756468367559185</v>
      </c>
      <c r="U119" s="21">
        <f>U116/U22</f>
        <v>7.775508064772087</v>
      </c>
      <c r="V119" s="21">
        <f>V116/V22</f>
        <v>7.064618553754401</v>
      </c>
      <c r="W119" s="21">
        <f>W116/W22</f>
        <v>6.369707159459264</v>
      </c>
      <c r="X119" s="21">
        <f>X116/X22</f>
        <v>5.784038801067313</v>
      </c>
      <c r="Y119" s="21">
        <f>Y116/Y22</f>
        <v>5.220324071868854</v>
      </c>
    </row>
    <row r="120">
      <c r="B120" t="s" s="9">
        <v>299</v>
      </c>
      <c r="C120" s="21">
        <f>C118/'Term Sheet'!$C$12</f>
        <v>9.356787681120675</v>
      </c>
      <c r="D120" s="21">
        <f>D118/D22</f>
        <v>7.936648178943915</v>
      </c>
      <c r="E120" s="21">
        <f>E118/E22</f>
        <v>6.791135563205034</v>
      </c>
      <c r="F120" s="21">
        <f>F118/F22</f>
        <v>5.879937018089394</v>
      </c>
      <c r="G120" s="21">
        <f>G118/G22</f>
        <v>5.01476122866013</v>
      </c>
      <c r="H120" s="21">
        <f>H118/H22</f>
        <v>4.24731143697942</v>
      </c>
      <c r="I120" s="21">
        <f>I118/I22</f>
        <v>3.504661771324808</v>
      </c>
      <c r="J120" s="21"/>
      <c r="K120" s="21">
        <f>K118/'Term Sheet'!$C$12</f>
        <v>9.356787681120675</v>
      </c>
      <c r="L120" s="21">
        <f>L118/L22</f>
        <v>7.833669084657863</v>
      </c>
      <c r="M120" s="21">
        <f>M118/M22</f>
        <v>6.320849521991308</v>
      </c>
      <c r="N120" s="21">
        <f>N118/N22</f>
        <v>4.8857384671160204</v>
      </c>
      <c r="O120" s="21">
        <f>O118/O22</f>
        <v>3.604870658026723</v>
      </c>
      <c r="P120" s="21">
        <f>P118/P22</f>
        <v>2.479159760596755</v>
      </c>
      <c r="Q120" s="21">
        <f>Q118/Q22</f>
        <v>1.491031384692322</v>
      </c>
      <c r="S120" s="21">
        <f>S118/'Term Sheet'!$C$12</f>
        <v>9.356787681120675</v>
      </c>
      <c r="T120" s="21">
        <f>T118/T22</f>
        <v>8.516972604645394</v>
      </c>
      <c r="U120" s="21">
        <f>U118/U22</f>
        <v>7.567657893601394</v>
      </c>
      <c r="V120" s="21">
        <f>V118/V22</f>
        <v>6.878335710567019</v>
      </c>
      <c r="W120" s="21">
        <f>W118/W22</f>
        <v>6.2011647651675785</v>
      </c>
      <c r="X120" s="21">
        <f>X118/X22</f>
        <v>5.628768198057736</v>
      </c>
      <c r="Y120" s="21">
        <f>Y118/Y22</f>
        <v>5.076441647221172</v>
      </c>
    </row>
    <row r="121">
      <c r="S121"/>
      <c r="T121"/>
      <c r="U121"/>
      <c r="V121"/>
      <c r="W121"/>
      <c r="X121"/>
      <c r="Y121"/>
    </row>
    <row r="122">
      <c r="B122" t="s" s="34">
        <v>300</v>
      </c>
      <c r="C122" s="34"/>
      <c r="D122" s="34"/>
      <c r="E122" s="34"/>
      <c r="F122" s="34"/>
      <c r="G122" s="34"/>
      <c r="H122" s="34"/>
      <c r="I122" s="34"/>
      <c r="J122" s="34"/>
      <c r="K122" s="34"/>
      <c r="L122" s="34"/>
      <c r="M122" s="34"/>
      <c r="N122" s="34"/>
      <c r="O122" s="34"/>
      <c r="P122" s="34"/>
      <c r="Q122" s="34"/>
      <c r="R122" s="34"/>
      <c r="S122" s="34"/>
      <c r="T122" s="34"/>
      <c r="U122" s="34"/>
      <c r="V122" s="34"/>
      <c r="W122" s="34"/>
      <c r="X122" s="34"/>
      <c r="Y122" s="34"/>
    </row>
    <row r="123">
      <c r="B123" t="s" s="9">
        <v>301</v>
      </c>
      <c r="C123" s="47">
        <v>25.0412556175976</v>
      </c>
      <c r="D123" s="21"/>
      <c r="E123" s="21"/>
      <c r="F123" s="21"/>
      <c r="G123" s="21"/>
      <c r="H123" s="21"/>
      <c r="I123" s="21"/>
      <c r="J123" s="21"/>
      <c r="K123" s="47">
        <v>24.7517193134436</v>
      </c>
      <c r="L123" s="21"/>
      <c r="M123" s="21"/>
      <c r="N123" s="21"/>
      <c r="O123" s="21"/>
      <c r="P123" s="21"/>
      <c r="Q123" s="21"/>
      <c r="S123" s="47">
        <v>26.7652766752295</v>
      </c>
      <c r="T123" s="21"/>
      <c r="U123" s="21"/>
      <c r="V123" s="21"/>
      <c r="W123" s="21"/>
      <c r="X123" s="21"/>
      <c r="Y123" s="21"/>
    </row>
    <row r="124">
      <c r="B124" t="s" s="9">
        <v>302</v>
      </c>
      <c r="C124" s="10"/>
      <c r="D124" s="10"/>
      <c r="E124" s="10">
        <f>F11</f>
        <v>453.016663807723</v>
      </c>
      <c r="F124" s="10">
        <f>G11</f>
        <v>514.1772394971034</v>
      </c>
      <c r="G124" s="10">
        <f>H11</f>
        <v>573.4936124361247</v>
      </c>
      <c r="H124" s="10">
        <f>I11</f>
        <v>636.0283537011794</v>
      </c>
      <c r="I124" s="10"/>
      <c r="J124" s="10"/>
      <c r="K124" s="10"/>
      <c r="L124" s="10"/>
      <c r="M124" s="10">
        <f>N11</f>
        <v>518.9707178082192</v>
      </c>
      <c r="N124" s="10">
        <f>O11</f>
        <v>635.1880986301371</v>
      </c>
      <c r="O124" s="10">
        <f>P11</f>
        <v>764.4298410958905</v>
      </c>
      <c r="P124" s="10">
        <f>Q11</f>
        <v>896.7205265100274</v>
      </c>
      <c r="Q124" s="10"/>
      <c r="S124" s="10"/>
      <c r="T124" s="10"/>
      <c r="U124" s="10">
        <f>V11</f>
        <v>402.61356717944</v>
      </c>
      <c r="V124" s="10">
        <f>W11</f>
        <v>444.9918984193532</v>
      </c>
      <c r="W124" s="10">
        <f>X11</f>
        <v>483.027685513492</v>
      </c>
      <c r="X124" s="10">
        <f>Y11</f>
        <v>521.258938912441</v>
      </c>
      <c r="Y124" s="10"/>
    </row>
    <row r="125">
      <c r="B125" t="s" s="9">
        <v>303</v>
      </c>
      <c r="C125" s="10"/>
      <c r="D125" s="10"/>
      <c r="E125" s="10">
        <f>F19</f>
        <v>0</v>
      </c>
      <c r="F125" s="10">
        <f>G19</f>
        <v>0</v>
      </c>
      <c r="G125" s="10">
        <f>H19</f>
        <v>0</v>
      </c>
      <c r="H125" s="10">
        <f>I19</f>
        <v>0</v>
      </c>
      <c r="I125" s="10"/>
      <c r="J125" s="10"/>
      <c r="K125" s="10"/>
      <c r="L125" s="10"/>
      <c r="M125" s="10">
        <f>N19</f>
        <v>0</v>
      </c>
      <c r="N125" s="10">
        <f>O19</f>
        <v>0</v>
      </c>
      <c r="O125" s="10">
        <f>P19</f>
        <v>0</v>
      </c>
      <c r="P125" s="10">
        <f>Q19</f>
        <v>0</v>
      </c>
      <c r="Q125" s="10"/>
      <c r="S125" s="10"/>
      <c r="T125" s="10"/>
      <c r="U125" s="10">
        <f>V19</f>
        <v>0</v>
      </c>
      <c r="V125" s="10">
        <f>W19</f>
        <v>0</v>
      </c>
      <c r="W125" s="10">
        <f>X19</f>
        <v>0</v>
      </c>
      <c r="X125" s="10">
        <f>Y19</f>
        <v>0</v>
      </c>
      <c r="Y125" s="10"/>
    </row>
    <row r="126">
      <c r="B126" t="s" s="9">
        <v>304</v>
      </c>
      <c r="C126" s="10"/>
      <c r="D126" s="10"/>
      <c r="E126" s="10">
        <f>E124*$C$123+E125*Scenarios!$C$28</f>
        <v>11344.106077440467</v>
      </c>
      <c r="F126" s="10">
        <f>F124*$C$123+F125*Scenarios!$C$28</f>
        <v>12875.643686997668</v>
      </c>
      <c r="G126" s="10">
        <f>G124*$C$123+G125*Scenarios!$C$28</f>
        <v>14361.00014407245</v>
      </c>
      <c r="H126" s="10">
        <f>H124*$C$123+H125*Scenarios!$C$28</f>
        <v>15926.948585071012</v>
      </c>
      <c r="I126" s="10"/>
      <c r="J126" s="10"/>
      <c r="K126" s="10"/>
      <c r="L126" s="10"/>
      <c r="M126" s="10">
        <f>M124*$K$123+M125*Scenarios!$C$28</f>
        <v>12845.417539085389</v>
      </c>
      <c r="N126" s="10">
        <f>N124*$K$123+N125*Scenarios!$C$28</f>
        <v>15721.997528533084</v>
      </c>
      <c r="O126" s="10">
        <f>O124*$K$123+O125*Scenarios!$C$28</f>
        <v>18920.952861625778</v>
      </c>
      <c r="P126" s="10">
        <f>P124*$K$123+P125*Scenarios!$C$28</f>
        <v>22195.37477477956</v>
      </c>
      <c r="Q126" s="10"/>
      <c r="S126" s="10"/>
      <c r="T126" s="10"/>
      <c r="U126" s="10">
        <f>U124*$S$123+U125*Scenarios!$C$28</f>
        <v>10776.06351875881</v>
      </c>
      <c r="V126" s="10">
        <f>V124*$S$123+V125*Scenarios!$C$28</f>
        <v>11910.33127942961</v>
      </c>
      <c r="W126" s="10">
        <f>W124*$S$123+W125*Scenarios!$C$28</f>
        <v>12928.369644564358</v>
      </c>
      <c r="X126" s="10">
        <f>X124*$S$123+X125*Scenarios!$C$28</f>
        <v>13951.639719428034</v>
      </c>
      <c r="Y126" s="10"/>
    </row>
    <row r="127">
      <c r="B127" t="s" s="9">
        <v>305</v>
      </c>
      <c r="C127" s="10"/>
      <c r="D127" s="10"/>
      <c r="E127" s="10">
        <f>-E116</f>
        <v>-2760.7215306107037</v>
      </c>
      <c r="F127" s="10">
        <f>-F116</f>
        <v>-2738.709451334388</v>
      </c>
      <c r="G127" s="10">
        <f>-G116</f>
        <v>-2653.4760852895683</v>
      </c>
      <c r="H127" s="10">
        <f>-H116</f>
        <v>-2510.8059791345954</v>
      </c>
      <c r="I127" s="10"/>
      <c r="J127" s="10"/>
      <c r="K127" s="10"/>
      <c r="L127" s="10"/>
      <c r="M127" s="10">
        <f>-M116</f>
        <v>-2722.0663515034125</v>
      </c>
      <c r="N127" s="10">
        <f>-N116</f>
        <v>-2610.5551993024296</v>
      </c>
      <c r="O127" s="10">
        <f>-O116</f>
        <v>-2364.7709390795653</v>
      </c>
      <c r="P127" s="10">
        <f>-P116</f>
        <v>-1970.1437018443035</v>
      </c>
      <c r="Q127" s="10"/>
      <c r="S127" s="10"/>
      <c r="T127" s="10"/>
      <c r="U127" s="10">
        <f>-U116</f>
        <v>-2805.6897984413745</v>
      </c>
      <c r="V127" s="10">
        <f>-V116</f>
        <v>-2844.311276689116</v>
      </c>
      <c r="W127" s="10">
        <f>-W116</f>
        <v>-2834.4680812631236</v>
      </c>
      <c r="X127" s="10">
        <f>-X116</f>
        <v>-2793.8508749997773</v>
      </c>
      <c r="Y127" s="10"/>
    </row>
    <row r="128">
      <c r="B128" t="s" s="9">
        <v>306</v>
      </c>
      <c r="C128" s="10"/>
      <c r="D128" s="10"/>
      <c r="E128" s="10">
        <f>E110</f>
        <v>75</v>
      </c>
      <c r="F128" s="10">
        <f>F110</f>
        <v>75</v>
      </c>
      <c r="G128" s="10">
        <f>G110</f>
        <v>75</v>
      </c>
      <c r="H128" s="10">
        <f>H110</f>
        <v>75</v>
      </c>
      <c r="I128" s="10"/>
      <c r="J128" s="10"/>
      <c r="K128" s="10"/>
      <c r="L128" s="10"/>
      <c r="M128" s="10">
        <f>M110</f>
        <v>75</v>
      </c>
      <c r="N128" s="10">
        <f>N110</f>
        <v>75</v>
      </c>
      <c r="O128" s="10">
        <f>O110</f>
        <v>75</v>
      </c>
      <c r="P128" s="10">
        <f>P110</f>
        <v>75</v>
      </c>
      <c r="Q128" s="10"/>
      <c r="S128" s="10"/>
      <c r="T128" s="10"/>
      <c r="U128" s="10">
        <f>U110</f>
        <v>75</v>
      </c>
      <c r="V128" s="10">
        <f>V110</f>
        <v>75</v>
      </c>
      <c r="W128" s="10">
        <f>W110</f>
        <v>75</v>
      </c>
      <c r="X128" s="10">
        <f>X110</f>
        <v>75</v>
      </c>
      <c r="Y128" s="10"/>
    </row>
    <row r="129">
      <c r="A129"/>
      <c r="B129" t="s" s="9">
        <v>527</v>
      </c>
      <c r="C129" s="10"/>
      <c r="D129" s="10"/>
      <c r="E129" s="10">
        <f>-'Term Sheet'!$C$100*(1-'Term Sheet'!$C$95)*MAX(0,'Term Sheet'!$C$101-E$6)/('Term Sheet'!$C$101-'Term Sheet'!$C$7)</f>
        <v>-73.38867177177868</v>
      </c>
      <c r="F129" s="10">
        <f>-'Term Sheet'!$C$100*(1-'Term Sheet'!$C$95)*MAX(0,'Term Sheet'!$C$101-F$6)/('Term Sheet'!$C$101-'Term Sheet'!$C$7)</f>
        <v>-23.83100780781005</v>
      </c>
      <c r="G129" s="10">
        <f>-'Term Sheet'!$C$100*(1-'Term Sheet'!$C$95)*MAX(0,'Term Sheet'!$C$101-G$6)/('Term Sheet'!$C$101-'Term Sheet'!$C$7)</f>
        <v>0</v>
      </c>
      <c r="H129" s="10">
        <f>-'Term Sheet'!$C$100*(1-'Term Sheet'!$C$95)*MAX(0,'Term Sheet'!$C$101-H$6)/('Term Sheet'!$C$101-'Term Sheet'!$C$7)</f>
        <v>0</v>
      </c>
      <c r="I129" s="10"/>
      <c r="J129" s="10"/>
      <c r="K129" s="10"/>
      <c r="L129" s="10"/>
      <c r="M129" s="10">
        <f>-'Term Sheet'!$C$100*(1-'Term Sheet'!$C$95)*MAX(0,'Term Sheet'!$C$101-M$6)/('Term Sheet'!$C$101-'Term Sheet'!$C$7)</f>
        <v>-73.38867177177868</v>
      </c>
      <c r="N129" s="10">
        <f>-'Term Sheet'!$C$100*(1-'Term Sheet'!$C$95)*MAX(0,'Term Sheet'!$C$101-N$6)/('Term Sheet'!$C$101-'Term Sheet'!$C$7)</f>
        <v>-23.83100780781005</v>
      </c>
      <c r="O129" s="10">
        <f>-'Term Sheet'!$C$100*(1-'Term Sheet'!$C$95)*MAX(0,'Term Sheet'!$C$101-O$6)/('Term Sheet'!$C$101-'Term Sheet'!$C$7)</f>
        <v>0</v>
      </c>
      <c r="P129" s="10">
        <f>-'Term Sheet'!$C$100*(1-'Term Sheet'!$C$95)*MAX(0,'Term Sheet'!$C$101-P$6)/('Term Sheet'!$C$101-'Term Sheet'!$C$7)</f>
        <v>0</v>
      </c>
      <c r="Q129" s="10"/>
      <c r="R129"/>
      <c r="S129" s="10"/>
      <c r="T129" s="10"/>
      <c r="U129" s="10">
        <f>-'Term Sheet'!$C$100*(1-'Term Sheet'!$C$95)*MAX(0,'Term Sheet'!$C$101-U$6)/('Term Sheet'!$C$101-'Term Sheet'!$C$7)</f>
        <v>-73.38867177177868</v>
      </c>
      <c r="V129" s="10">
        <f>-'Term Sheet'!$C$100*(1-'Term Sheet'!$C$95)*MAX(0,'Term Sheet'!$C$101-V$6)/('Term Sheet'!$C$101-'Term Sheet'!$C$7)</f>
        <v>-23.83100780781005</v>
      </c>
      <c r="W129" s="10">
        <f>-'Term Sheet'!$C$100*(1-'Term Sheet'!$C$95)*MAX(0,'Term Sheet'!$C$101-W$6)/('Term Sheet'!$C$101-'Term Sheet'!$C$7)</f>
        <v>0</v>
      </c>
      <c r="X129" s="10">
        <f>-'Term Sheet'!$C$100*(1-'Term Sheet'!$C$95)*MAX(0,'Term Sheet'!$C$101-X$6)/('Term Sheet'!$C$101-'Term Sheet'!$C$7)</f>
        <v>0</v>
      </c>
      <c r="Y129" s="10"/>
    </row>
    <row r="130">
      <c r="B130" t="s" s="41">
        <v>307</v>
      </c>
      <c r="C130" s="42"/>
      <c r="D130" s="42"/>
      <c r="E130" s="42">
        <f>SUM(E126:E129)</f>
        <v>8584.995875057984</v>
      </c>
      <c r="F130" s="42">
        <f>SUM(F126:F129)</f>
        <v>10188.10322785547</v>
      </c>
      <c r="G130" s="42">
        <f>SUM(G126:G129)</f>
        <v>11782.524058782881</v>
      </c>
      <c r="H130" s="42">
        <f>SUM(H126:H129)</f>
        <v>13491.142605936417</v>
      </c>
      <c r="I130" s="42"/>
      <c r="J130" s="10"/>
      <c r="K130" s="42"/>
      <c r="L130" s="42"/>
      <c r="M130" s="42">
        <f>SUM(M126:M129)</f>
        <v>10124.962515810199</v>
      </c>
      <c r="N130" s="42">
        <f>SUM(N126:N129)</f>
        <v>13162.611321422844</v>
      </c>
      <c r="O130" s="42">
        <f>SUM(O126:O129)</f>
        <v>16631.181922546213</v>
      </c>
      <c r="P130" s="42">
        <f>SUM(P126:P129)</f>
        <v>20300.231072935258</v>
      </c>
      <c r="Q130" s="42"/>
      <c r="S130" s="42"/>
      <c r="T130" s="42"/>
      <c r="U130" s="42">
        <f>SUM(U126:U129)</f>
        <v>7971.985048545657</v>
      </c>
      <c r="V130" s="42">
        <f>SUM(V126:V129)</f>
        <v>9117.188994932685</v>
      </c>
      <c r="W130" s="42">
        <f>SUM(W126:W129)</f>
        <v>10168.901563301235</v>
      </c>
      <c r="X130" s="42">
        <f>SUM(X126:X129)</f>
        <v>11232.788844428258</v>
      </c>
      <c r="Y130" s="42"/>
    </row>
    <row r="131">
      <c r="B131" t="s" s="9">
        <v>308</v>
      </c>
      <c r="C131" s="10"/>
      <c r="D131" s="10"/>
      <c r="E131" s="44">
        <f>'Term Sheet'!$C$13</f>
        <v>5737.031985790003</v>
      </c>
      <c r="F131" s="44">
        <f>'Term Sheet'!$C$13</f>
        <v>5737.031985790003</v>
      </c>
      <c r="G131" s="44">
        <f>'Term Sheet'!$C$13</f>
        <v>5737.031985790003</v>
      </c>
      <c r="H131" s="44">
        <f>'Term Sheet'!$C$13</f>
        <v>5737.031985790003</v>
      </c>
      <c r="I131" s="10"/>
      <c r="J131" s="10"/>
      <c r="K131" s="10"/>
      <c r="L131" s="10"/>
      <c r="M131" s="44">
        <f>'Term Sheet'!$C$13</f>
        <v>5737.031985790003</v>
      </c>
      <c r="N131" s="44">
        <f>'Term Sheet'!$C$13</f>
        <v>5737.031985790003</v>
      </c>
      <c r="O131" s="44">
        <f>'Term Sheet'!$C$13</f>
        <v>5737.031985790003</v>
      </c>
      <c r="P131" s="44">
        <f>'Term Sheet'!$C$13</f>
        <v>5737.031985790003</v>
      </c>
      <c r="Q131" s="10"/>
      <c r="S131" s="10"/>
      <c r="T131" s="10"/>
      <c r="U131" s="44">
        <f>'Term Sheet'!$C$13</f>
        <v>5737.031985790003</v>
      </c>
      <c r="V131" s="44">
        <f>'Term Sheet'!$C$13</f>
        <v>5737.031985790003</v>
      </c>
      <c r="W131" s="44">
        <f>'Term Sheet'!$C$13</f>
        <v>5737.031985790003</v>
      </c>
      <c r="X131" s="44">
        <f>'Term Sheet'!$C$13</f>
        <v>5737.031985790003</v>
      </c>
      <c r="Y131" s="10"/>
    </row>
    <row r="132">
      <c r="B132" t="s" s="9">
        <v>309</v>
      </c>
      <c r="C132" s="21"/>
      <c r="D132" s="21"/>
      <c r="E132" s="21">
        <f>E130/E131</f>
        <v>1.496417641791448</v>
      </c>
      <c r="F132" s="21">
        <f>F130/F131</f>
        <v>1.775849124266743</v>
      </c>
      <c r="G132" s="21">
        <f>G130/G131</f>
        <v>2.0537664924941845</v>
      </c>
      <c r="H132" s="21">
        <f>H130/H131</f>
        <v>2.351589225814409</v>
      </c>
      <c r="I132" s="21"/>
      <c r="J132" s="21"/>
      <c r="K132" s="21"/>
      <c r="L132" s="21"/>
      <c r="M132" s="21">
        <f>M130/M131</f>
        <v>1.7648433093781972</v>
      </c>
      <c r="N132" s="21">
        <f>N130/N131</f>
        <v>2.294324200043713</v>
      </c>
      <c r="O132" s="21">
        <f>O130/O131</f>
        <v>2.8989174130002797</v>
      </c>
      <c r="P132" s="21">
        <f>P130/P131</f>
        <v>3.5384552715091524</v>
      </c>
      <c r="Q132" s="21"/>
      <c r="S132" s="21"/>
      <c r="T132" s="21"/>
      <c r="U132" s="21">
        <f>U130/U131</f>
        <v>1.3895660802121004</v>
      </c>
      <c r="V132" s="21">
        <f>V130/V131</f>
        <v>1.5891821794814738</v>
      </c>
      <c r="W132" s="21">
        <f>W130/W131</f>
        <v>1.7725021559036946</v>
      </c>
      <c r="X132" s="21">
        <f>X130/X131</f>
        <v>1.957944259723606</v>
      </c>
      <c r="Y132" s="21"/>
    </row>
    <row r="133">
      <c r="B133" t="s" s="41">
        <v>310</v>
      </c>
      <c r="C133" s="43"/>
      <c r="D133" s="43"/>
      <c r="E133" s="43">
        <f>E132^(1/YEARFRAC('Term Sheet'!$C$7,E$6,3))-1</f>
        <v>0.30416527936574056</v>
      </c>
      <c r="F133" s="43">
        <f>F132^(1/YEARFRAC('Term Sheet'!$C$7,F$6,3))-1</f>
        <v>0.25588289529172137</v>
      </c>
      <c r="G133" s="43">
        <f>G132^(1/YEARFRAC('Term Sheet'!$C$7,G$6,3))-1</f>
        <v>0.2268150526354975</v>
      </c>
      <c r="H133" s="43">
        <f>H132^(1/YEARFRAC('Term Sheet'!$C$7,H$6,3))-1</f>
        <v>0.2082301161586022</v>
      </c>
      <c r="I133" s="43"/>
      <c r="J133" s="24"/>
      <c r="K133" s="43"/>
      <c r="L133" s="43"/>
      <c r="M133" s="43">
        <f>M132^(1/YEARFRAC('Term Sheet'!$C$7,M$6,3))-1</f>
        <v>0.45392183013111786</v>
      </c>
      <c r="N133" s="43">
        <f>N132^(1/YEARFRAC('Term Sheet'!$C$7,N$6,3))-1</f>
        <v>0.390227471737814</v>
      </c>
      <c r="O133" s="43">
        <f>O132^(1/YEARFRAC('Term Sheet'!$C$7,O$6,3))-1</f>
        <v>0.35299615497548253</v>
      </c>
      <c r="P133" s="43">
        <f>P132^(1/YEARFRAC('Term Sheet'!$C$7,P$6,3))-1</f>
        <v>0.3225260799224414</v>
      </c>
      <c r="Q133" s="43"/>
      <c r="S133" s="43"/>
      <c r="T133" s="43"/>
      <c r="U133" s="43">
        <f>U132^(1/YEARFRAC('Term Sheet'!$C$7,U$6,3))-1</f>
        <v>0.24203895118188723</v>
      </c>
      <c r="V133" s="43">
        <f>V132^(1/YEARFRAC('Term Sheet'!$C$7,V$6,3))-1</f>
        <v>0.20174818089825286</v>
      </c>
      <c r="W133" s="43">
        <f>W132^(1/YEARFRAC('Term Sheet'!$C$7,W$6,3))-1</f>
        <v>0.1765496268589397</v>
      </c>
      <c r="X133" s="43">
        <f>X132^(1/YEARFRAC('Term Sheet'!$C$7,X$6,3))-1</f>
        <v>0.16024516849324</v>
      </c>
      <c r="Y133" s="43"/>
    </row>
    <row r="134">
      <c r="S134"/>
      <c r="T134"/>
      <c r="U134"/>
      <c r="V134"/>
      <c r="W134"/>
      <c r="X134"/>
      <c r="Y134"/>
    </row>
    <row r="135">
      <c r="B135" t="s" s="34">
        <v>738</v>
      </c>
      <c r="C135" s="34"/>
      <c r="D135" s="34"/>
      <c r="E135" s="34"/>
      <c r="F135" s="34"/>
      <c r="G135" s="34"/>
      <c r="H135" s="34"/>
      <c r="I135" s="34"/>
      <c r="J135" s="34"/>
      <c r="K135" s="34"/>
      <c r="L135" s="34"/>
      <c r="M135" s="34"/>
      <c r="N135" s="34"/>
      <c r="O135" s="34"/>
      <c r="P135" s="34"/>
      <c r="Q135" s="34"/>
      <c r="R135" s="34"/>
      <c r="S135" s="34"/>
      <c r="T135" s="34"/>
      <c r="U135" s="34"/>
      <c r="V135" s="34"/>
      <c r="W135" s="34"/>
      <c r="X135" s="34"/>
      <c r="Y135" s="34"/>
    </row>
    <row r="136">
      <c r="B136" t="s" s="9">
        <v>312</v>
      </c>
      <c r="C136" s="10"/>
      <c r="D136" s="10"/>
      <c r="E136" s="10"/>
      <c r="F136" s="10"/>
      <c r="G136" s="10"/>
      <c r="H136" s="44">
        <v>2309.77349138827</v>
      </c>
      <c r="I136" s="10"/>
      <c r="J136" s="10"/>
      <c r="K136" s="10"/>
      <c r="L136" s="10"/>
      <c r="M136" s="10"/>
      <c r="N136" s="10"/>
      <c r="O136" s="10"/>
      <c r="P136" s="44">
        <v>1776.54502204034</v>
      </c>
      <c r="Q136" s="10"/>
      <c r="S136" s="10"/>
      <c r="T136" s="10"/>
      <c r="U136" s="10"/>
      <c r="V136" s="10"/>
      <c r="W136" s="10"/>
      <c r="X136" s="44">
        <v>2578.57281888481</v>
      </c>
      <c r="Y136" s="10"/>
    </row>
    <row r="137">
      <c r="B137" t="s" s="9">
        <v>313</v>
      </c>
      <c r="C137" s="10"/>
      <c r="D137" s="10"/>
      <c r="E137" s="10"/>
      <c r="F137" s="10"/>
      <c r="G137" s="10"/>
      <c r="H137" s="10">
        <f>H118</f>
        <v>2435.8059791345954</v>
      </c>
      <c r="I137" s="10"/>
      <c r="J137" s="10"/>
      <c r="K137" s="10"/>
      <c r="L137" s="10"/>
      <c r="M137" s="10"/>
      <c r="N137" s="10"/>
      <c r="O137" s="10"/>
      <c r="P137" s="10">
        <f>P118</f>
        <v>1895.1437018443035</v>
      </c>
      <c r="Q137" s="10"/>
      <c r="S137" s="10"/>
      <c r="T137" s="10"/>
      <c r="U137" s="10"/>
      <c r="V137" s="10"/>
      <c r="W137" s="10"/>
      <c r="X137" s="10">
        <f>X118</f>
        <v>2718.8508749997773</v>
      </c>
      <c r="Y137" s="10"/>
    </row>
    <row r="138">
      <c r="B138" t="s" s="9">
        <v>314</v>
      </c>
      <c r="C138" s="10"/>
      <c r="D138" s="10"/>
      <c r="E138" s="10"/>
      <c r="F138" s="10"/>
      <c r="G138" s="10"/>
      <c r="H138" s="10">
        <f>H137-H136</f>
        <v>126.03248774632539</v>
      </c>
      <c r="I138" s="10"/>
      <c r="J138" s="10"/>
      <c r="K138" s="10"/>
      <c r="L138" s="10"/>
      <c r="M138" s="10"/>
      <c r="N138" s="10"/>
      <c r="O138" s="10"/>
      <c r="P138" s="10">
        <f>P137-P136</f>
        <v>118.59867980396348</v>
      </c>
      <c r="Q138" s="10"/>
      <c r="S138" s="10"/>
      <c r="T138" s="10"/>
      <c r="U138" s="10"/>
      <c r="V138" s="10"/>
      <c r="W138" s="10"/>
      <c r="X138" s="10">
        <f>X137-X136</f>
        <v>140.27805611496706</v>
      </c>
      <c r="Y138" s="10"/>
    </row>
    <row r="139">
      <c r="B139" t="s" s="9">
        <v>315</v>
      </c>
      <c r="C139" s="12"/>
      <c r="D139" s="12"/>
      <c r="E139" s="12"/>
      <c r="F139" s="12"/>
      <c r="G139" s="12"/>
      <c r="H139" s="48">
        <v>0.210717934370041</v>
      </c>
      <c r="I139" s="12"/>
      <c r="J139" s="12"/>
      <c r="K139" s="12"/>
      <c r="L139" s="12"/>
      <c r="M139" s="12"/>
      <c r="N139" s="12"/>
      <c r="O139" s="12"/>
      <c r="P139" s="48">
        <v>0.324231404066086</v>
      </c>
      <c r="Q139" s="12"/>
      <c r="S139" s="12"/>
      <c r="T139" s="12"/>
      <c r="U139" s="12"/>
      <c r="V139" s="12"/>
      <c r="W139" s="12"/>
      <c r="X139" s="48">
        <v>0.163434940576553</v>
      </c>
      <c r="Y139" s="12"/>
    </row>
    <row r="140">
      <c r="B140" t="s" s="9">
        <v>316</v>
      </c>
      <c r="C140" s="12"/>
      <c r="D140" s="12"/>
      <c r="E140" s="12"/>
      <c r="F140" s="12"/>
      <c r="G140" s="12"/>
      <c r="H140" s="12">
        <f>H133</f>
        <v>0.2082301161586022</v>
      </c>
      <c r="I140" s="12"/>
      <c r="J140" s="12"/>
      <c r="K140" s="12"/>
      <c r="L140" s="12"/>
      <c r="M140" s="12"/>
      <c r="N140" s="12"/>
      <c r="O140" s="12"/>
      <c r="P140" s="12">
        <f>P133</f>
        <v>0.3225260799224414</v>
      </c>
      <c r="Q140" s="12"/>
      <c r="S140" s="12"/>
      <c r="T140" s="12"/>
      <c r="U140" s="12"/>
      <c r="V140" s="12"/>
      <c r="W140" s="12"/>
      <c r="X140" s="12">
        <f>X133</f>
        <v>0.16024516849324</v>
      </c>
      <c r="Y140" s="12"/>
    </row>
    <row r="141">
      <c r="B141" t="s" s="9">
        <v>314</v>
      </c>
      <c r="C141" s="12"/>
      <c r="D141" s="12"/>
      <c r="E141" s="12"/>
      <c r="F141" s="12"/>
      <c r="G141" s="12"/>
      <c r="H141" s="12">
        <f>H140-H139</f>
        <v>-0.002487818211438786</v>
      </c>
      <c r="I141" s="12"/>
      <c r="J141" s="12"/>
      <c r="K141" s="12"/>
      <c r="L141" s="12"/>
      <c r="M141" s="12"/>
      <c r="N141" s="12"/>
      <c r="O141" s="12"/>
      <c r="P141" s="12">
        <f>P140-P139</f>
        <v>-0.0017053241436446043</v>
      </c>
      <c r="Q141" s="12"/>
      <c r="S141" s="12"/>
      <c r="T141" s="12"/>
      <c r="U141" s="12"/>
      <c r="V141" s="12"/>
      <c r="W141" s="12"/>
      <c r="X141" s="12">
        <f>X140-X139</f>
        <v>-0.0031897720833130028</v>
      </c>
      <c r="Y141" s="12"/>
    </row>
    <row r="143">
      <c r="B143" t="s" s="34">
        <v>435</v>
      </c>
      <c r="C143" s="34"/>
      <c r="D143" s="34"/>
      <c r="E143" s="34"/>
      <c r="F143" s="34"/>
      <c r="G143" s="34"/>
      <c r="H143" s="34"/>
      <c r="I143" s="34"/>
      <c r="J143" s="34"/>
      <c r="K143" s="34"/>
      <c r="L143" s="34"/>
      <c r="M143" s="34"/>
      <c r="N143" s="34"/>
      <c r="O143" s="34"/>
      <c r="P143" s="34"/>
      <c r="Q143" s="34"/>
      <c r="R143" s="34"/>
      <c r="S143" s="34"/>
      <c r="T143" s="34"/>
      <c r="U143" s="34"/>
      <c r="V143" s="34"/>
      <c r="W143" s="34"/>
      <c r="X143" s="34"/>
      <c r="Y143" s="34"/>
    </row>
    <row r="144">
      <c r="B144" t="s" s="9">
        <v>436</v>
      </c>
      <c r="C144" s="10"/>
      <c r="D144" s="10"/>
      <c r="E144" s="10"/>
      <c r="F144" s="10"/>
      <c r="G144" s="10"/>
      <c r="H144" s="10"/>
      <c r="I144" s="10"/>
      <c r="J144" s="10"/>
      <c r="K144" s="10"/>
      <c r="L144" s="10"/>
      <c r="M144" s="10"/>
      <c r="N144" s="10"/>
      <c r="O144" s="10"/>
      <c r="P144" s="10"/>
      <c r="Q144" s="10"/>
      <c r="R144" s="10"/>
      <c r="S144" s="44">
        <v>731.368</v>
      </c>
      <c r="T144" s="10"/>
      <c r="U144" s="10"/>
      <c r="V144" s="10"/>
      <c r="W144" s="10"/>
      <c r="X144" s="10"/>
      <c r="Y144" s="10"/>
    </row>
    <row r="145">
      <c r="B145" t="s" s="9">
        <v>437</v>
      </c>
      <c r="C145" s="24"/>
      <c r="D145" s="24"/>
      <c r="E145" s="24"/>
      <c r="F145" s="24"/>
      <c r="G145" s="24"/>
      <c r="H145" s="24"/>
      <c r="I145" s="24"/>
      <c r="J145" s="24"/>
      <c r="K145" s="24"/>
      <c r="L145" s="24"/>
      <c r="M145" s="24"/>
      <c r="N145" s="24"/>
      <c r="O145" s="24"/>
      <c r="P145" s="24"/>
      <c r="Q145" s="24"/>
      <c r="R145" s="24"/>
      <c r="S145" s="24"/>
      <c r="T145" s="45">
        <v>0.250403293442057</v>
      </c>
      <c r="U145" s="45">
        <v>0.106193714748539</v>
      </c>
      <c r="V145" s="45">
        <v>0.096193714748539</v>
      </c>
      <c r="W145" s="45">
        <v>0.086193714748539</v>
      </c>
      <c r="X145" s="45">
        <v>0.076193714748539</v>
      </c>
      <c r="Y145" s="45">
        <v>0.0700000000000001</v>
      </c>
    </row>
    <row r="146">
      <c r="B146" t="s" s="9">
        <v>438</v>
      </c>
      <c r="C146" s="24"/>
      <c r="D146" s="24"/>
      <c r="E146" s="24"/>
      <c r="F146" s="24"/>
      <c r="G146" s="24"/>
      <c r="H146" s="24"/>
      <c r="I146" s="24"/>
      <c r="J146" s="24"/>
      <c r="K146" s="24"/>
      <c r="L146" s="24"/>
      <c r="M146" s="24"/>
      <c r="N146" s="24"/>
      <c r="O146" s="24"/>
      <c r="P146" s="24"/>
      <c r="Q146" s="24"/>
      <c r="R146" s="24"/>
      <c r="S146" s="24"/>
      <c r="T146" s="45">
        <v>0.342434383767472</v>
      </c>
      <c r="U146" s="45">
        <v>0.356692211934217</v>
      </c>
      <c r="V146" s="45">
        <v>0.363064551682131</v>
      </c>
      <c r="W146" s="45">
        <v>0.369436891430046</v>
      </c>
      <c r="X146" s="45">
        <v>0.372623061304003</v>
      </c>
      <c r="Y146" s="45">
        <v>0.375809231177961</v>
      </c>
    </row>
    <row r="147">
      <c r="B147" t="s" s="9">
        <v>439</v>
      </c>
      <c r="C147" s="24"/>
      <c r="D147" s="24"/>
      <c r="E147" s="24"/>
      <c r="F147" s="24"/>
      <c r="G147" s="24"/>
      <c r="H147" s="24"/>
      <c r="I147" s="24"/>
      <c r="J147" s="24"/>
      <c r="K147" s="24"/>
      <c r="L147" s="24"/>
      <c r="M147" s="24"/>
      <c r="N147" s="24"/>
      <c r="O147" s="24"/>
      <c r="P147" s="24"/>
      <c r="Q147" s="24"/>
      <c r="R147" s="24"/>
      <c r="S147" s="24"/>
      <c r="T147" s="45">
        <v>0.976744186046511</v>
      </c>
      <c r="U147" s="45">
        <v>0.976744186046511</v>
      </c>
      <c r="V147" s="45">
        <v>0.976744186046511</v>
      </c>
      <c r="W147" s="45">
        <v>0.976744186046511</v>
      </c>
      <c r="X147" s="45">
        <v>0.976744186046511</v>
      </c>
      <c r="Y147" s="45">
        <v>0.976744186046511</v>
      </c>
    </row>
    <row r="149">
      <c r="B149" t="s" s="34">
        <v>440</v>
      </c>
      <c r="C149" s="34"/>
      <c r="D149" s="34"/>
      <c r="E149" s="34"/>
      <c r="F149" s="34"/>
      <c r="G149" s="34"/>
      <c r="H149" s="34"/>
      <c r="I149" s="34"/>
      <c r="J149" s="34"/>
      <c r="K149" s="34"/>
      <c r="L149" s="34"/>
      <c r="M149" s="34"/>
      <c r="N149" s="34"/>
      <c r="O149" s="34"/>
      <c r="P149" s="34"/>
      <c r="Q149" s="34"/>
      <c r="R149" s="34"/>
      <c r="S149" s="34"/>
      <c r="T149" s="34"/>
      <c r="U149" s="34"/>
      <c r="V149" s="34"/>
      <c r="W149" s="34"/>
      <c r="X149" s="34"/>
      <c r="Y149" s="34"/>
    </row>
    <row r="150">
      <c r="B150" t="s" s="9">
        <v>441</v>
      </c>
      <c r="C150" s="10"/>
      <c r="D150" s="10"/>
      <c r="E150" s="10"/>
      <c r="F150" s="10"/>
      <c r="G150" s="10"/>
      <c r="H150" s="10"/>
      <c r="I150" s="10"/>
      <c r="J150" s="10"/>
      <c r="K150" s="10"/>
      <c r="L150" s="10"/>
      <c r="M150" s="10"/>
      <c r="N150" s="10"/>
      <c r="O150" s="10"/>
      <c r="P150" s="10"/>
      <c r="Q150" s="10"/>
      <c r="R150" s="10"/>
      <c r="S150" s="10"/>
      <c r="T150" s="10">
        <f>T17*T147</f>
        <v>-7.732226363612145</v>
      </c>
      <c r="U150" s="10">
        <f>U17*U147</f>
        <v>-16.51835542127438</v>
      </c>
      <c r="V150" s="10">
        <f>V17*V147</f>
        <v>-18.107317390783425</v>
      </c>
      <c r="W150" s="10">
        <f>W17*W147</f>
        <v>-19.668054340825872</v>
      </c>
      <c r="X150" s="10">
        <f>X17*X147</f>
        <v>-21.16663646292952</v>
      </c>
      <c r="Y150" s="10">
        <f>Y17*Y147</f>
        <v>-22.64830101533459</v>
      </c>
    </row>
    <row r="151">
      <c r="B151" t="s" s="9">
        <v>442</v>
      </c>
      <c r="C151" s="10"/>
      <c r="D151" s="10"/>
      <c r="E151" s="10"/>
      <c r="F151" s="10"/>
      <c r="G151" s="10"/>
      <c r="H151" s="10"/>
      <c r="I151" s="10"/>
      <c r="J151" s="10"/>
      <c r="K151" s="10"/>
      <c r="L151" s="10"/>
      <c r="M151" s="10"/>
      <c r="N151" s="10"/>
      <c r="O151" s="10"/>
      <c r="P151" s="10"/>
      <c r="Q151" s="10"/>
      <c r="R151" s="10"/>
      <c r="S151" s="10"/>
      <c r="T151" s="10">
        <f>(T11-T12)*T7+T150</f>
        <v>88.19792940370692</v>
      </c>
      <c r="U151" s="10">
        <f>(U11-U12)*U7+U150</f>
        <v>216.42248958862322</v>
      </c>
      <c r="V151" s="10">
        <f>(V11-V12)*V7+V150</f>
        <v>248.54041411791698</v>
      </c>
      <c r="W151" s="10">
        <f>(W11-W12)*W7+W150</f>
        <v>281.45882064505145</v>
      </c>
      <c r="X151" s="10">
        <f>(X11-X12)*X7+X150</f>
        <v>310.35724498669333</v>
      </c>
      <c r="Y151" s="10">
        <f>(Y11-Y12)*Y7+Y150</f>
        <v>339.53164363004373</v>
      </c>
    </row>
    <row r="152">
      <c r="B152" t="s" s="9">
        <v>443</v>
      </c>
      <c r="C152" s="10"/>
      <c r="D152" s="10"/>
      <c r="E152" s="10"/>
      <c r="F152" s="10"/>
      <c r="G152" s="10"/>
      <c r="H152" s="10"/>
      <c r="I152" s="10"/>
      <c r="J152" s="10"/>
      <c r="K152" s="10"/>
      <c r="L152" s="10"/>
      <c r="M152" s="10"/>
      <c r="N152" s="10"/>
      <c r="O152" s="10"/>
      <c r="P152" s="10"/>
      <c r="Q152" s="10"/>
      <c r="R152" s="10"/>
      <c r="S152" s="10"/>
      <c r="T152" s="10">
        <f>T104-T105</f>
        <v>124.88163142476657</v>
      </c>
      <c r="U152" s="10">
        <f>U104-U105</f>
        <v>266.4613924579487</v>
      </c>
      <c r="V152" s="10">
        <f>V104-V105</f>
        <v>271.23308547297705</v>
      </c>
      <c r="W152" s="10">
        <f>W104-W105</f>
        <v>253.24657987251882</v>
      </c>
      <c r="X152" s="10">
        <f>X104-X105</f>
        <v>249.12275139658755</v>
      </c>
      <c r="Y152" s="10">
        <f>Y104-Y105</f>
        <v>243.96012896976148</v>
      </c>
    </row>
    <row r="153">
      <c r="B153" t="s" s="9">
        <v>444</v>
      </c>
      <c r="C153" s="10"/>
      <c r="D153" s="10"/>
      <c r="E153" s="10"/>
      <c r="F153" s="10"/>
      <c r="G153" s="10"/>
      <c r="H153" s="10"/>
      <c r="I153" s="10"/>
      <c r="J153" s="10"/>
      <c r="K153" s="10"/>
      <c r="L153" s="10"/>
      <c r="M153" s="10"/>
      <c r="N153" s="10"/>
      <c r="O153" s="10"/>
      <c r="P153" s="10"/>
      <c r="Q153" s="10"/>
      <c r="R153" s="10"/>
      <c r="S153" s="10"/>
      <c r="T153" s="10">
        <f>S156</f>
        <v>0</v>
      </c>
      <c r="U153" s="10">
        <f>T156</f>
        <v>96.10258469457085</v>
      </c>
      <c r="V153" s="10">
        <f>U156</f>
        <v>292.6817236495503</v>
      </c>
      <c r="W153" s="10">
        <f>V156</f>
        <v>483.92048966991723</v>
      </c>
      <c r="X153" s="10">
        <f>W156</f>
        <v>646.8290070466729</v>
      </c>
      <c r="Y153" s="10">
        <f>X156</f>
        <v>796.494594008374</v>
      </c>
    </row>
    <row r="154">
      <c r="B154" t="s" s="9">
        <v>445</v>
      </c>
      <c r="C154" s="10"/>
      <c r="D154" s="10"/>
      <c r="E154" s="10"/>
      <c r="F154" s="10"/>
      <c r="G154" s="10"/>
      <c r="H154" s="10"/>
      <c r="I154" s="10"/>
      <c r="J154" s="10"/>
      <c r="K154" s="10"/>
      <c r="L154" s="10"/>
      <c r="M154" s="10"/>
      <c r="N154" s="10"/>
      <c r="O154" s="10"/>
      <c r="P154" s="10"/>
      <c r="Q154" s="10"/>
      <c r="R154" s="10"/>
      <c r="S154" s="10"/>
      <c r="T154" s="10">
        <f>'Term Sheet'!$C$94*MAX(0,(T11-T12)*T7+T44)</f>
        <v>28.77904673019572</v>
      </c>
      <c r="U154" s="10">
        <f>'Term Sheet'!$C$94*MAX(0,(U11-U12)*U7+U44)</f>
        <v>69.88225350296928</v>
      </c>
      <c r="V154" s="10">
        <f>'Term Sheet'!$C$94*MAX(0,(V11-V12)*V7+V44)</f>
        <v>79.99431945261013</v>
      </c>
      <c r="W154" s="10">
        <f>'Term Sheet'!$C$94*MAX(0,(W11-W12)*W7+W44)</f>
        <v>90.33806249576318</v>
      </c>
      <c r="X154" s="10">
        <f>'Term Sheet'!$C$94*MAX(0,(X11-X12)*X7+X44)</f>
        <v>99.45716443488686</v>
      </c>
      <c r="Y154" s="10">
        <f>'Term Sheet'!$C$94*MAX(0,(Y11-Y12)*Y7+Y44)</f>
        <v>108.6539833936135</v>
      </c>
    </row>
    <row r="155">
      <c r="B155" t="s" s="9">
        <v>446</v>
      </c>
      <c r="C155" s="10"/>
      <c r="D155" s="10"/>
      <c r="E155" s="10"/>
      <c r="F155" s="10"/>
      <c r="G155" s="10"/>
      <c r="H155" s="10"/>
      <c r="I155" s="10"/>
      <c r="J155" s="10"/>
      <c r="K155" s="10"/>
      <c r="L155" s="10"/>
      <c r="M155" s="10"/>
      <c r="N155" s="10"/>
      <c r="O155" s="10"/>
      <c r="P155" s="10"/>
      <c r="Q155" s="10"/>
      <c r="R155" s="10"/>
      <c r="S155" s="10"/>
      <c r="T155" s="10">
        <f>MIN(T152+T153,T154)</f>
        <v>28.77904673019572</v>
      </c>
      <c r="U155" s="10">
        <f>MIN(U152+U153,U154)</f>
        <v>69.88225350296928</v>
      </c>
      <c r="V155" s="10">
        <f>MIN(V152+V153,V154)</f>
        <v>79.99431945261013</v>
      </c>
      <c r="W155" s="10">
        <f>MIN(W152+W153,W154)</f>
        <v>90.33806249576318</v>
      </c>
      <c r="X155" s="10">
        <f>MIN(X152+X153,X154)</f>
        <v>99.45716443488686</v>
      </c>
      <c r="Y155" s="10">
        <f>MIN(Y152+Y153,Y154)</f>
        <v>108.6539833936135</v>
      </c>
    </row>
    <row r="156">
      <c r="B156" t="s" s="9">
        <v>447</v>
      </c>
      <c r="C156" s="10"/>
      <c r="D156" s="10"/>
      <c r="E156" s="10"/>
      <c r="F156" s="10"/>
      <c r="G156" s="10"/>
      <c r="H156" s="10"/>
      <c r="I156" s="10"/>
      <c r="J156" s="10"/>
      <c r="K156" s="10"/>
      <c r="L156" s="10"/>
      <c r="M156" s="10"/>
      <c r="N156" s="10"/>
      <c r="O156" s="10"/>
      <c r="P156" s="10"/>
      <c r="Q156" s="10"/>
      <c r="R156" s="10"/>
      <c r="S156" s="10">
        <f>0</f>
        <v>0</v>
      </c>
      <c r="T156" s="10">
        <f>T153+T152-T155</f>
        <v>96.10258469457085</v>
      </c>
      <c r="U156" s="10">
        <f>U153+U152-U155</f>
        <v>292.6817236495503</v>
      </c>
      <c r="V156" s="10">
        <f>V153+V152-V155</f>
        <v>483.92048966991723</v>
      </c>
      <c r="W156" s="10">
        <f>W153+W152-W155</f>
        <v>646.8290070466728</v>
      </c>
      <c r="X156" s="10">
        <f>X153+X152-X155</f>
        <v>796.4945940083736</v>
      </c>
      <c r="Y156" s="10">
        <f>Y153+Y152-Y155</f>
        <v>931.8007395845218</v>
      </c>
    </row>
    <row r="157">
      <c r="B157" t="s" s="9">
        <v>448</v>
      </c>
      <c r="C157" s="10"/>
      <c r="D157" s="10"/>
      <c r="E157" s="10"/>
      <c r="F157" s="10"/>
      <c r="G157" s="10"/>
      <c r="H157" s="10"/>
      <c r="I157" s="10"/>
      <c r="J157" s="10"/>
      <c r="K157" s="10"/>
      <c r="L157" s="10"/>
      <c r="M157" s="10"/>
      <c r="N157" s="10"/>
      <c r="O157" s="10"/>
      <c r="P157" s="10"/>
      <c r="Q157" s="10"/>
      <c r="R157" s="10"/>
      <c r="S157" s="10"/>
      <c r="T157" s="10">
        <f>MAX(0,T151-T155+T44)</f>
        <v>59.418882673511206</v>
      </c>
      <c r="U157" s="10">
        <f>MAX(0,U151-U155+U44)</f>
        <v>146.54023608565393</v>
      </c>
      <c r="V157" s="10">
        <f>MAX(0,V151-V155+V44)</f>
        <v>168.54609466530684</v>
      </c>
      <c r="W157" s="10">
        <f>MAX(0,W151-W155+W44)</f>
        <v>191.12075814928826</v>
      </c>
      <c r="X157" s="10">
        <f>MAX(0,X151-X155+X44)</f>
        <v>210.90008055180647</v>
      </c>
      <c r="Y157" s="10">
        <f>MAX(0,Y151-Y155+Y44)</f>
        <v>230.87766023643024</v>
      </c>
    </row>
    <row r="158">
      <c r="B158" t="s" s="9">
        <v>449</v>
      </c>
      <c r="C158" s="10"/>
      <c r="D158" s="10"/>
      <c r="E158" s="10"/>
      <c r="F158" s="10"/>
      <c r="G158" s="10"/>
      <c r="H158" s="10"/>
      <c r="I158" s="10"/>
      <c r="J158" s="10"/>
      <c r="K158" s="10"/>
      <c r="L158" s="10"/>
      <c r="M158" s="10"/>
      <c r="N158" s="10"/>
      <c r="O158" s="10"/>
      <c r="P158" s="10"/>
      <c r="Q158" s="10"/>
      <c r="R158" s="10"/>
      <c r="S158" s="10"/>
      <c r="T158" s="10">
        <f>T157*'Term Sheet'!$C$95</f>
        <v>14.854720668377801</v>
      </c>
      <c r="U158" s="10">
        <f>U157*'Term Sheet'!$C$95</f>
        <v>36.63505902141348</v>
      </c>
      <c r="V158" s="10">
        <f>V157*'Term Sheet'!$C$95</f>
        <v>42.13652366632671</v>
      </c>
      <c r="W158" s="10">
        <f>W157*'Term Sheet'!$C$95</f>
        <v>47.780189537322066</v>
      </c>
      <c r="X158" s="10">
        <f>X157*'Term Sheet'!$C$95</f>
        <v>52.72502013795162</v>
      </c>
      <c r="Y158" s="10">
        <f>Y157*'Term Sheet'!$C$95</f>
        <v>57.71941505910756</v>
      </c>
    </row>
    <row r="159">
      <c r="B159" t="s" s="9">
        <v>450</v>
      </c>
      <c r="C159" s="10"/>
      <c r="D159" s="10"/>
      <c r="E159" s="10"/>
      <c r="F159" s="10"/>
      <c r="G159" s="10"/>
      <c r="H159" s="10"/>
      <c r="I159" s="10"/>
      <c r="J159" s="10"/>
      <c r="K159" s="10"/>
      <c r="L159" s="10"/>
      <c r="M159" s="10"/>
      <c r="N159" s="10"/>
      <c r="O159" s="10"/>
      <c r="P159" s="10"/>
      <c r="Q159" s="10"/>
      <c r="R159" s="10"/>
      <c r="S159" s="10"/>
      <c r="T159" s="10">
        <f>S161</f>
        <v>702.3</v>
      </c>
      <c r="U159" s="10">
        <f>T161</f>
        <v>690.4162234652977</v>
      </c>
      <c r="V159" s="10">
        <f>U161</f>
        <v>661.1081762481668</v>
      </c>
      <c r="W159" s="10">
        <f>V161</f>
        <v>627.3989573151055</v>
      </c>
      <c r="X159" s="10">
        <f>W161</f>
        <v>589.1748056852479</v>
      </c>
      <c r="Y159" s="10">
        <f>X161</f>
        <v>546.9947895748866</v>
      </c>
    </row>
    <row r="160">
      <c r="B160" t="s" s="9">
        <v>451</v>
      </c>
      <c r="C160" s="10"/>
      <c r="D160" s="10"/>
      <c r="E160" s="10"/>
      <c r="F160" s="10"/>
      <c r="G160" s="10"/>
      <c r="H160" s="10"/>
      <c r="I160" s="10"/>
      <c r="J160" s="10"/>
      <c r="K160" s="10"/>
      <c r="L160" s="10"/>
      <c r="M160" s="10"/>
      <c r="N160" s="10"/>
      <c r="O160" s="10"/>
      <c r="P160" s="10"/>
      <c r="Q160" s="10"/>
      <c r="R160" s="10"/>
      <c r="S160" s="10"/>
      <c r="T160" s="10">
        <f>-MIN(T159,T158*'Term Sheet'!$C$96)</f>
        <v>-11.883776534702243</v>
      </c>
      <c r="U160" s="10">
        <f>-MIN(U159,U158*'Term Sheet'!$C$96)</f>
        <v>-29.308047217130788</v>
      </c>
      <c r="V160" s="10">
        <f>-MIN(V159,V158*'Term Sheet'!$C$96)</f>
        <v>-33.70921893306137</v>
      </c>
      <c r="W160" s="10">
        <f>-MIN(W159,W158*'Term Sheet'!$C$96)</f>
        <v>-38.22415162985765</v>
      </c>
      <c r="X160" s="10">
        <f>-MIN(X159,X158*'Term Sheet'!$C$96)</f>
        <v>-42.180016110361294</v>
      </c>
      <c r="Y160" s="10">
        <f>-MIN(Y159,Y158*'Term Sheet'!$C$96)</f>
        <v>-46.175532047286055</v>
      </c>
    </row>
    <row r="161">
      <c r="B161" t="s" s="9">
        <v>452</v>
      </c>
      <c r="C161" s="10"/>
      <c r="D161" s="10"/>
      <c r="E161" s="10"/>
      <c r="F161" s="10"/>
      <c r="G161" s="10"/>
      <c r="H161" s="10"/>
      <c r="I161" s="10"/>
      <c r="J161" s="10"/>
      <c r="K161" s="10"/>
      <c r="L161" s="10"/>
      <c r="M161" s="10"/>
      <c r="N161" s="10"/>
      <c r="O161" s="10"/>
      <c r="P161" s="10"/>
      <c r="Q161" s="10"/>
      <c r="R161" s="10"/>
      <c r="S161" s="44">
        <f>'Term Sheet'!$C$97</f>
        <v>702.3</v>
      </c>
      <c r="T161" s="10">
        <f>T159+T160</f>
        <v>690.4162234652977</v>
      </c>
      <c r="U161" s="10">
        <f>U159+U160</f>
        <v>661.1081762481668</v>
      </c>
      <c r="V161" s="10">
        <f>V159+V160</f>
        <v>627.3989573151055</v>
      </c>
      <c r="W161" s="10">
        <f>W159+W160</f>
        <v>589.1748056852479</v>
      </c>
      <c r="X161" s="10">
        <f>X159+X160</f>
        <v>546.9947895748866</v>
      </c>
      <c r="Y161" s="10">
        <f>Y159+Y160</f>
        <v>500.8192575276005</v>
      </c>
    </row>
    <row r="162">
      <c r="B162" t="s" s="41">
        <v>453</v>
      </c>
      <c r="C162" s="42"/>
      <c r="D162" s="42"/>
      <c r="E162" s="42"/>
      <c r="F162" s="42"/>
      <c r="G162" s="42"/>
      <c r="H162" s="42"/>
      <c r="I162" s="42"/>
      <c r="J162" s="10"/>
      <c r="K162" s="42"/>
      <c r="L162" s="42"/>
      <c r="M162" s="42"/>
      <c r="N162" s="42"/>
      <c r="O162" s="42"/>
      <c r="P162" s="42"/>
      <c r="Q162" s="42"/>
      <c r="R162" s="10"/>
      <c r="S162" s="42"/>
      <c r="T162" s="42">
        <f>T158+T160</f>
        <v>2.970944133675559</v>
      </c>
      <c r="U162" s="42">
        <f>U158+U160</f>
        <v>7.327011804282694</v>
      </c>
      <c r="V162" s="42">
        <f>V158+V160</f>
        <v>8.427304733265338</v>
      </c>
      <c r="W162" s="42">
        <f>W158+W160</f>
        <v>9.556037907464415</v>
      </c>
      <c r="X162" s="42">
        <f>X158+X160</f>
        <v>10.545004027590323</v>
      </c>
      <c r="Y162" s="42">
        <f>Y158+Y160</f>
        <v>11.543883011821507</v>
      </c>
    </row>
    <row r="164">
      <c r="B164" t="s" s="34">
        <v>454</v>
      </c>
      <c r="C164" s="34"/>
      <c r="D164" s="34"/>
      <c r="E164" s="34"/>
      <c r="F164" s="34"/>
      <c r="G164" s="34"/>
      <c r="H164" s="34"/>
      <c r="I164" s="34"/>
      <c r="J164" s="34"/>
      <c r="K164" s="34"/>
      <c r="L164" s="34"/>
      <c r="M164" s="34"/>
      <c r="N164" s="34"/>
      <c r="O164" s="34"/>
      <c r="P164" s="34"/>
      <c r="Q164" s="34"/>
      <c r="R164" s="34"/>
      <c r="S164" s="34"/>
      <c r="T164" s="34"/>
      <c r="U164" s="34"/>
      <c r="V164" s="34"/>
      <c r="W164" s="34"/>
      <c r="X164" s="34"/>
      <c r="Y164" s="34"/>
    </row>
    <row r="165">
      <c r="B165" t="s" s="9">
        <v>455</v>
      </c>
      <c r="C165" s="21"/>
      <c r="D165" s="21"/>
      <c r="E165" s="21">
        <f>$C$123</f>
        <v>25.0412556175976</v>
      </c>
      <c r="F165" s="21">
        <f>$C$123</f>
        <v>25.0412556175976</v>
      </c>
      <c r="G165" s="21">
        <f>$C$123</f>
        <v>25.0412556175976</v>
      </c>
      <c r="H165" s="21">
        <f>$C$123</f>
        <v>25.0412556175976</v>
      </c>
      <c r="I165" s="21"/>
      <c r="J165" s="21"/>
      <c r="K165" s="21"/>
      <c r="L165" s="21"/>
      <c r="M165" s="21">
        <f>$C$123</f>
        <v>25.0412556175976</v>
      </c>
      <c r="N165" s="21">
        <f>$C$123</f>
        <v>25.0412556175976</v>
      </c>
      <c r="O165" s="21">
        <f>$C$123</f>
        <v>25.0412556175976</v>
      </c>
      <c r="P165" s="21">
        <f>$C$123</f>
        <v>25.0412556175976</v>
      </c>
      <c r="Q165" s="21"/>
      <c r="R165" s="21"/>
      <c r="S165" s="21"/>
      <c r="T165" s="21"/>
      <c r="U165" s="21">
        <f>$C$123</f>
        <v>25.0412556175976</v>
      </c>
      <c r="V165" s="21">
        <f>$C$123</f>
        <v>25.0412556175976</v>
      </c>
      <c r="W165" s="21">
        <f>$C$123</f>
        <v>25.0412556175976</v>
      </c>
      <c r="X165" s="21">
        <f>$C$123</f>
        <v>25.0412556175976</v>
      </c>
      <c r="Y165" s="21"/>
    </row>
    <row r="166">
      <c r="B166" t="s" s="9">
        <v>304</v>
      </c>
      <c r="C166" s="10"/>
      <c r="D166" s="10"/>
      <c r="E166" s="10">
        <f>E124*E165+E125*Scenarios!$C$28</f>
        <v>11344.106077440467</v>
      </c>
      <c r="F166" s="10">
        <f>F124*F165+F125*Scenarios!$C$28</f>
        <v>12875.643686997668</v>
      </c>
      <c r="G166" s="10">
        <f>G124*G165+G125*Scenarios!$C$28</f>
        <v>14361.00014407245</v>
      </c>
      <c r="H166" s="10">
        <f>H124*H165+H125*Scenarios!$C$28</f>
        <v>15926.948585071012</v>
      </c>
      <c r="I166" s="10"/>
      <c r="J166" s="10"/>
      <c r="K166" s="10"/>
      <c r="L166" s="10"/>
      <c r="M166" s="10">
        <f>M124*M165+M125*Scenarios!$C$28</f>
        <v>12995.678402683729</v>
      </c>
      <c r="N166" s="10">
        <f>N124*N165+N125*Scenarios!$C$28</f>
        <v>15905.90754305306</v>
      </c>
      <c r="O166" s="10">
        <f>O124*O165+O125*Scenarios!$C$28</f>
        <v>19142.28305260171</v>
      </c>
      <c r="P166" s="10">
        <f>P124*P165+P125*Scenarios!$C$28</f>
        <v>22455.007921884302</v>
      </c>
      <c r="Q166" s="10"/>
      <c r="R166" s="10"/>
      <c r="S166" s="10"/>
      <c r="T166" s="10"/>
      <c r="U166" s="10">
        <f>U124*U165+U125*Scenarios!$C$28</f>
        <v>10081.94925085316</v>
      </c>
      <c r="V166" s="10">
        <f>V124*V165+V125*Scenarios!$C$28</f>
        <v>11143.155876079049</v>
      </c>
      <c r="W166" s="10">
        <f>W124*W165+W125*Scenarios!$C$28</f>
        <v>12095.619743319898</v>
      </c>
      <c r="X166" s="10">
        <f>X124*X165+X125*Scenarios!$C$28</f>
        <v>13052.978332264125</v>
      </c>
      <c r="Y166" s="10"/>
    </row>
    <row r="167">
      <c r="B167" t="s" s="41">
        <v>307</v>
      </c>
      <c r="C167" s="42"/>
      <c r="D167" s="42"/>
      <c r="E167" s="42">
        <f>E166-E116+E110+E129</f>
        <v>8584.995875057984</v>
      </c>
      <c r="F167" s="42">
        <f>F166-F116+F110+F129</f>
        <v>10188.10322785547</v>
      </c>
      <c r="G167" s="42">
        <f>G166-G116+G110+G129</f>
        <v>11782.524058782881</v>
      </c>
      <c r="H167" s="42">
        <f>H166-H116+H110+H129</f>
        <v>13491.142605936417</v>
      </c>
      <c r="I167" s="42"/>
      <c r="J167" s="10"/>
      <c r="K167" s="42"/>
      <c r="L167" s="42"/>
      <c r="M167" s="42">
        <f>M166-M116+M110+M129</f>
        <v>10275.223379408539</v>
      </c>
      <c r="N167" s="42">
        <f>N166-N116+N110+N129</f>
        <v>13346.52133594282</v>
      </c>
      <c r="O167" s="42">
        <f>O166-O116+O110+O129</f>
        <v>16852.512113522145</v>
      </c>
      <c r="P167" s="42">
        <f>P166-P116+P110+P129</f>
        <v>20559.86422004</v>
      </c>
      <c r="Q167" s="42"/>
      <c r="R167" s="10"/>
      <c r="S167" s="42"/>
      <c r="T167" s="42"/>
      <c r="U167" s="42">
        <f>U166-U116+U110+U129</f>
        <v>7277.870780640007</v>
      </c>
      <c r="V167" s="42">
        <f>V166-V116+V110+V129</f>
        <v>8350.013591582123</v>
      </c>
      <c r="W167" s="42">
        <f>W166-W116+W110+W129</f>
        <v>9336.151662056775</v>
      </c>
      <c r="X167" s="42">
        <f>X166-X116+X110+X129</f>
        <v>10334.127457264349</v>
      </c>
      <c r="Y167" s="42"/>
    </row>
    <row r="168">
      <c r="B168" t="s" s="9">
        <v>309</v>
      </c>
      <c r="C168" s="21"/>
      <c r="D168" s="21"/>
      <c r="E168" s="21">
        <f>E167/E131</f>
        <v>1.496417641791448</v>
      </c>
      <c r="F168" s="21">
        <f>F167/F131</f>
        <v>1.775849124266743</v>
      </c>
      <c r="G168" s="21">
        <f>G167/G131</f>
        <v>2.0537664924941845</v>
      </c>
      <c r="H168" s="21">
        <f>H167/H131</f>
        <v>2.351589225814409</v>
      </c>
      <c r="I168" s="21"/>
      <c r="J168" s="21"/>
      <c r="K168" s="21"/>
      <c r="L168" s="21"/>
      <c r="M168" s="21">
        <f>M167/M131</f>
        <v>1.7910347031111447</v>
      </c>
      <c r="N168" s="21">
        <f>N167/N131</f>
        <v>2.326380847971684</v>
      </c>
      <c r="O168" s="21">
        <f>O167/O131</f>
        <v>2.937496628093405</v>
      </c>
      <c r="P168" s="21">
        <f>P167/P131</f>
        <v>3.5837109276999883</v>
      </c>
      <c r="Q168" s="21"/>
      <c r="R168" s="21"/>
      <c r="S168" s="21"/>
      <c r="T168" s="21"/>
      <c r="U168" s="21">
        <f>U167/U131</f>
        <v>1.2685776894161462</v>
      </c>
      <c r="V168" s="21">
        <f>V167/V131</f>
        <v>1.4554587829149614</v>
      </c>
      <c r="W168" s="21">
        <f>W167/W131</f>
        <v>1.6273487205895654</v>
      </c>
      <c r="X168" s="21">
        <f>X167/X131</f>
        <v>1.8013020465740552</v>
      </c>
      <c r="Y168" s="21"/>
    </row>
    <row r="169">
      <c r="B169" t="s" s="41">
        <v>310</v>
      </c>
      <c r="C169" s="43"/>
      <c r="D169" s="43"/>
      <c r="E169" s="43">
        <f>E168^(1/YEARFRAC('Term Sheet'!$C$7,E$6,3))-1</f>
        <v>0.30416527936574056</v>
      </c>
      <c r="F169" s="43">
        <f>F168^(1/YEARFRAC('Term Sheet'!$C$7,F$6,3))-1</f>
        <v>0.25588289529172137</v>
      </c>
      <c r="G169" s="43">
        <f>G168^(1/YEARFRAC('Term Sheet'!$C$7,G$6,3))-1</f>
        <v>0.2268150526354975</v>
      </c>
      <c r="H169" s="43">
        <f>H168^(1/YEARFRAC('Term Sheet'!$C$7,H$6,3))-1</f>
        <v>0.2082301161586022</v>
      </c>
      <c r="I169" s="43"/>
      <c r="J169" s="24"/>
      <c r="K169" s="43"/>
      <c r="L169" s="43"/>
      <c r="M169" s="43">
        <f>M168^(1/YEARFRAC('Term Sheet'!$C$7,M$6,3))-1</f>
        <v>0.4681020531577682</v>
      </c>
      <c r="N169" s="43">
        <f>N168^(1/YEARFRAC('Term Sheet'!$C$7,N$6,3))-1</f>
        <v>0.3979016813244358</v>
      </c>
      <c r="O169" s="43">
        <f>O168^(1/YEARFRAC('Term Sheet'!$C$7,O$6,3))-1</f>
        <v>0.35808648102702967</v>
      </c>
      <c r="P169" s="43">
        <f>P168^(1/YEARFRAC('Term Sheet'!$C$7,P$6,3))-1</f>
        <v>0.32624931429358184</v>
      </c>
      <c r="Q169" s="43"/>
      <c r="R169" s="24"/>
      <c r="S169" s="43"/>
      <c r="T169" s="43"/>
      <c r="U169" s="43">
        <f>U168^(1/YEARFRAC('Term Sheet'!$C$7,U$6,3))-1</f>
        <v>0.16968766533810165</v>
      </c>
      <c r="V169" s="43">
        <f>V168^(1/YEARFRAC('Term Sheet'!$C$7,V$6,3))-1</f>
        <v>0.16056225803581836</v>
      </c>
      <c r="W169" s="43">
        <f>W168^(1/YEARFRAC('Term Sheet'!$C$7,W$6,3))-1</f>
        <v>0.14833968211338888</v>
      </c>
      <c r="X169" s="43">
        <f>X168^(1/YEARFRAC('Term Sheet'!$C$7,X$6,3))-1</f>
        <v>0.13903964754458564</v>
      </c>
      <c r="Y169" s="43"/>
    </row>
  </sheetData>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50"/>
  <sheetViews>
    <sheetView showGridLines="0" workbookViewId="0">
      <pane xSplit="2" ySplit="4" topLeftCell="C5" activePane="bottomRight" state="frozen"/>
      <selection pane="topRight" activeCell="C1" sqref="C1"/>
      <selection pane="bottomLeft" activeCell="A5" sqref="A5"/>
      <selection pane="bottomRight" activeCell="A1" sqref="A1"/>
    </sheetView>
  </sheetViews>
  <cols>
    <col min="1" max="1" width="2.21875" customWidth="1"/>
    <col min="2" max="2" width="83.7890625" customWidth="1"/>
    <col min="3" max="9" width="12.50390625" customWidth="1"/>
  </cols>
  <sheetData>
    <row r="2">
      <c r="B2" t="s" s="2">
        <v>319</v>
      </c>
    </row>
    <row r="3">
      <c r="B3" t="s" s="3">
        <v>320</v>
      </c>
    </row>
    <row r="5">
      <c r="B5" t="s" s="34">
        <v>317</v>
      </c>
      <c r="C5" s="34"/>
      <c r="D5" s="34"/>
      <c r="E5" s="34"/>
      <c r="F5" s="34"/>
      <c r="G5" s="34"/>
      <c r="H5" s="34"/>
      <c r="I5" s="34"/>
    </row>
    <row r="6">
      <c r="B6" t="s" s="4">
        <v>215</v>
      </c>
      <c r="C6" s="38">
        <f>'Debt Schedule'!C$6</f>
        <v>46198</v>
      </c>
      <c r="D6" s="39">
        <f>'Debt Schedule'!D$6</f>
        <v>46387</v>
      </c>
      <c r="E6" s="39">
        <f>'Debt Schedule'!E$6</f>
        <v>46752</v>
      </c>
      <c r="F6" s="39">
        <f>'Debt Schedule'!F$6</f>
        <v>47118</v>
      </c>
      <c r="G6" s="39">
        <f>'Debt Schedule'!G$6</f>
        <v>47483</v>
      </c>
      <c r="H6" s="39">
        <f>'Debt Schedule'!H$6</f>
        <v>47848</v>
      </c>
      <c r="I6" s="39">
        <f>'Debt Schedule'!I$6</f>
        <v>48213</v>
      </c>
    </row>
    <row r="7">
      <c r="B7" t="s" s="81">
        <v>321</v>
      </c>
    </row>
    <row r="8">
      <c r="B8" t="s" s="9">
        <v>322</v>
      </c>
      <c r="C8" s="15">
        <f>'Term Sheet'!$C$12</f>
        <v>280.545</v>
      </c>
      <c r="D8" s="15">
        <f>'Debt Schedule'!D22</f>
        <v>334.71799748251317</v>
      </c>
      <c r="E8" s="15">
        <f>'Debt Schedule'!E22</f>
        <v>395.47458677782515</v>
      </c>
      <c r="F8" s="15">
        <f>'Debt Schedule'!F22</f>
        <v>453.016663807723</v>
      </c>
      <c r="G8" s="15">
        <f>'Debt Schedule'!G22</f>
        <v>514.1772394971034</v>
      </c>
      <c r="H8" s="15">
        <f>'Debt Schedule'!H22</f>
        <v>573.4936124361247</v>
      </c>
      <c r="I8" s="15">
        <f>'Debt Schedule'!I22</f>
        <v>636.0283537011794</v>
      </c>
    </row>
    <row r="9">
      <c r="B9" t="s" s="9">
        <v>323</v>
      </c>
      <c r="C9" s="11"/>
      <c r="D9" s="11">
        <f>'Debt Schedule'!D11*'Debt Schedule'!D7+'Debt Schedule'!D20</f>
        <v>173.31973020327393</v>
      </c>
      <c r="E9" s="11">
        <f>'Debt Schedule'!E11*'Debt Schedule'!E7+'Debt Schedule'!E20</f>
        <v>395.47458677782515</v>
      </c>
      <c r="F9" s="11">
        <f>'Debt Schedule'!F11*'Debt Schedule'!F7+'Debt Schedule'!F20</f>
        <v>453.016663807723</v>
      </c>
      <c r="G9" s="11">
        <f>'Debt Schedule'!G11*'Debt Schedule'!G7+'Debt Schedule'!G20</f>
        <v>514.1772394971034</v>
      </c>
      <c r="H9" s="11">
        <f>'Debt Schedule'!H11*'Debt Schedule'!H7+'Debt Schedule'!H20</f>
        <v>573.4936124361247</v>
      </c>
      <c r="I9" s="11">
        <f>'Debt Schedule'!I11*'Debt Schedule'!I7+'Debt Schedule'!I20</f>
        <v>636.0283537011794</v>
      </c>
    </row>
    <row r="10">
      <c r="B10" t="s" s="9">
        <v>324</v>
      </c>
      <c r="C10" s="15">
        <f>'Debt Schedule'!C116</f>
        <v>2700</v>
      </c>
      <c r="D10" s="15">
        <f>'Debt Schedule'!D116</f>
        <v>2735.179759401606</v>
      </c>
      <c r="E10" s="15">
        <f>'Debt Schedule'!E116</f>
        <v>2760.7215306107037</v>
      </c>
      <c r="F10" s="15">
        <f>'Debt Schedule'!F116</f>
        <v>2738.709451334388</v>
      </c>
      <c r="G10" s="15">
        <f>'Debt Schedule'!G116</f>
        <v>2653.4760852895683</v>
      </c>
      <c r="H10" s="15">
        <f>'Debt Schedule'!H116</f>
        <v>2510.8059791345954</v>
      </c>
      <c r="I10" s="15">
        <f>'Debt Schedule'!I116</f>
        <v>2304.064256695177</v>
      </c>
    </row>
    <row r="11">
      <c r="B11" t="s" s="9">
        <v>289</v>
      </c>
      <c r="C11" s="15">
        <f>'Debt Schedule'!C110</f>
        <v>75</v>
      </c>
      <c r="D11" s="15">
        <f>'Debt Schedule'!D110</f>
        <v>78.64077422226413</v>
      </c>
      <c r="E11" s="15">
        <f>'Debt Schedule'!E110</f>
        <v>75</v>
      </c>
      <c r="F11" s="15">
        <f>'Debt Schedule'!F110</f>
        <v>75</v>
      </c>
      <c r="G11" s="15">
        <f>'Debt Schedule'!G110</f>
        <v>75</v>
      </c>
      <c r="H11" s="15">
        <f>'Debt Schedule'!H110</f>
        <v>75</v>
      </c>
      <c r="I11" s="15">
        <f>'Debt Schedule'!I110</f>
        <v>75</v>
      </c>
    </row>
    <row r="12">
      <c r="B12" t="s" s="41">
        <v>297</v>
      </c>
      <c r="C12" s="49">
        <f>C10-C11</f>
        <v>2625</v>
      </c>
      <c r="D12" s="49">
        <f>D10-D11</f>
        <v>2656.538985179342</v>
      </c>
      <c r="E12" s="49">
        <f>E10-E11</f>
        <v>2685.7215306107037</v>
      </c>
      <c r="F12" s="49">
        <f>F10-F11</f>
        <v>2663.709451334388</v>
      </c>
      <c r="G12" s="49">
        <f>G10-G11</f>
        <v>2578.4760852895683</v>
      </c>
      <c r="H12" s="49">
        <f>H10-H11</f>
        <v>2435.8059791345954</v>
      </c>
      <c r="I12" s="49">
        <f>I10-I11</f>
        <v>2229.064256695177</v>
      </c>
    </row>
    <row r="13">
      <c r="B13" t="s" s="81">
        <v>325</v>
      </c>
    </row>
    <row r="14">
      <c r="B14" t="s" s="9">
        <v>326</v>
      </c>
      <c r="C14" s="22">
        <f>C10/C8</f>
        <v>9.624124472009838</v>
      </c>
      <c r="D14" s="22">
        <f>D10/D8</f>
        <v>8.171594536217018</v>
      </c>
      <c r="E14" s="22">
        <f>E10/E8</f>
        <v>6.980781124531923</v>
      </c>
      <c r="F14" s="22">
        <f>F10/F8</f>
        <v>6.045493841914825</v>
      </c>
      <c r="G14" s="22">
        <f>G10/G8</f>
        <v>5.160625328116097</v>
      </c>
      <c r="H14" s="22">
        <f>H10/H8</f>
        <v>4.378088830787539</v>
      </c>
      <c r="I14" s="22">
        <f>I10/I8</f>
        <v>3.622581042633327</v>
      </c>
    </row>
    <row r="15">
      <c r="B15" t="s" s="9">
        <v>327</v>
      </c>
      <c r="C15" s="22">
        <f>C12/C8</f>
        <v>9.356787681120675</v>
      </c>
      <c r="D15" s="22">
        <f>D12/D8</f>
        <v>7.936648178943915</v>
      </c>
      <c r="E15" s="22">
        <f>E12/E8</f>
        <v>6.791135563205034</v>
      </c>
      <c r="F15" s="22">
        <f>F12/F8</f>
        <v>5.879937018089394</v>
      </c>
      <c r="G15" s="22">
        <f>G12/G8</f>
        <v>5.01476122866013</v>
      </c>
      <c r="H15" s="22">
        <f>H12/H8</f>
        <v>4.24731143697942</v>
      </c>
      <c r="I15" s="22">
        <f>I12/I8</f>
        <v>3.504661771324808</v>
      </c>
    </row>
    <row r="16">
      <c r="B16" t="s" s="41">
        <v>328</v>
      </c>
      <c r="C16" s="54">
        <f>'Debt Schedule'!C120</f>
        <v>9.356787681120675</v>
      </c>
      <c r="D16" s="54">
        <f>'Debt Schedule'!D120</f>
        <v>7.936648178943915</v>
      </c>
      <c r="E16" s="54">
        <f>'Debt Schedule'!E120</f>
        <v>6.791135563205034</v>
      </c>
      <c r="F16" s="54">
        <f>'Debt Schedule'!F120</f>
        <v>5.879937018089394</v>
      </c>
      <c r="G16" s="54">
        <f>'Debt Schedule'!G120</f>
        <v>5.01476122866013</v>
      </c>
      <c r="H16" s="54">
        <f>'Debt Schedule'!H120</f>
        <v>4.24731143697942</v>
      </c>
      <c r="I16" s="54">
        <f>'Debt Schedule'!I120</f>
        <v>3.504661771324808</v>
      </c>
    </row>
    <row r="17">
      <c r="B17" t="s" s="81">
        <v>333</v>
      </c>
    </row>
    <row r="18">
      <c r="B18" t="s" s="9">
        <v>334</v>
      </c>
      <c r="C18" s="11"/>
      <c r="D18" s="15">
        <f>'Debt Schedule'!D101</f>
        <v>87.05266708154969</v>
      </c>
      <c r="E18" s="15">
        <f>'Debt Schedule'!E101</f>
        <v>191.05438753749908</v>
      </c>
      <c r="F18" s="15">
        <f>'Debt Schedule'!F101</f>
        <v>220.77962336453433</v>
      </c>
      <c r="G18" s="15">
        <f>'Debt Schedule'!G101</f>
        <v>236.3845456435771</v>
      </c>
      <c r="H18" s="15">
        <f>'Debt Schedule'!H101</f>
        <v>224.61186090868486</v>
      </c>
      <c r="I18" s="15">
        <f>'Debt Schedule'!I101</f>
        <v>209.24407088217347</v>
      </c>
    </row>
    <row r="19">
      <c r="B19" t="s" s="9">
        <v>285</v>
      </c>
      <c r="C19" s="11"/>
      <c r="D19" s="15">
        <f>'Debt Schedule'!D102</f>
        <v>35.17975940160628</v>
      </c>
      <c r="E19" s="15">
        <f>'Debt Schedule'!E102</f>
        <v>68.69876612515387</v>
      </c>
      <c r="F19" s="15">
        <f>'Debt Schedule'!F102</f>
        <v>31.58228550594491</v>
      </c>
      <c r="G19" s="15">
        <f>'Debt Schedule'!G102</f>
        <v>0</v>
      </c>
      <c r="H19" s="15">
        <f>'Debt Schedule'!H102</f>
        <v>0</v>
      </c>
      <c r="I19" s="15">
        <f>'Debt Schedule'!I102</f>
        <v>0</v>
      </c>
    </row>
    <row r="20">
      <c r="B20" t="s" s="41">
        <v>335</v>
      </c>
      <c r="C20" s="50"/>
      <c r="D20" s="50">
        <f>D9/D18</f>
        <v>1.9909755325578997</v>
      </c>
      <c r="E20" s="50">
        <f>E9/E18</f>
        <v>2.069958151053734</v>
      </c>
      <c r="F20" s="50">
        <f>F9/F18</f>
        <v>2.0518952650794984</v>
      </c>
      <c r="G20" s="50">
        <f>G9/G18</f>
        <v>2.1751728231522582</v>
      </c>
      <c r="H20" s="50">
        <f>H9/H18</f>
        <v>2.5532650418193032</v>
      </c>
      <c r="I20" s="50">
        <f>I9/I18</f>
        <v>3.0396481535638378</v>
      </c>
    </row>
    <row r="21">
      <c r="B21" t="s" s="9">
        <v>336</v>
      </c>
      <c r="C21" s="22"/>
      <c r="D21" s="22">
        <f>D9/(D18+D19)</f>
        <v>1.417952135861084</v>
      </c>
      <c r="E21" s="22">
        <f>E9/(E18+E19)</f>
        <v>1.522501579678361</v>
      </c>
      <c r="F21" s="22">
        <f>F9/(F18+F19)</f>
        <v>1.795107137346257</v>
      </c>
      <c r="G21" s="22">
        <f>G9/(G18+G19)</f>
        <v>2.1751728231522582</v>
      </c>
      <c r="H21" s="22">
        <f>H9/(H18+H19)</f>
        <v>2.5532650418193032</v>
      </c>
      <c r="I21" s="22">
        <f>I9/(I18+I19)</f>
        <v>3.0396481535638378</v>
      </c>
    </row>
    <row r="22">
      <c r="B22" t="s" s="9">
        <v>337</v>
      </c>
      <c r="C22" s="11"/>
      <c r="D22" s="15">
        <f>'Debt Schedule'!D17</f>
        <v>-8.10625756090628</v>
      </c>
      <c r="E22" s="15">
        <f>'Debt Schedule'!E17</f>
        <v>-17.787046535209562</v>
      </c>
      <c r="F22" s="15">
        <f>'Debt Schedule'!F17</f>
        <v>-20.031660011892786</v>
      </c>
      <c r="G22" s="15">
        <f>'Debt Schedule'!G17</f>
        <v>-22.35921300125437</v>
      </c>
      <c r="H22" s="15">
        <f>'Debt Schedule'!H17</f>
        <v>-24.7336208887114</v>
      </c>
      <c r="I22" s="15">
        <f>'Debt Schedule'!I17</f>
        <v>-27.20698297758254</v>
      </c>
    </row>
    <row r="23">
      <c r="B23" t="s" s="9">
        <v>338</v>
      </c>
      <c r="C23" s="11"/>
      <c r="D23" s="15">
        <f>'Debt Schedule'!D18</f>
        <v>-3.3524075599540453</v>
      </c>
      <c r="E23" s="15">
        <f>'Debt Schedule'!E18</f>
        <v>-8.496580822713668</v>
      </c>
      <c r="F23" s="15">
        <f>'Debt Schedule'!F18</f>
        <v>-10.118488612120586</v>
      </c>
      <c r="G23" s="15">
        <f>'Debt Schedule'!G18</f>
        <v>-11.868965997049429</v>
      </c>
      <c r="H23" s="15">
        <f>'Debt Schedule'!H18</f>
        <v>-13.561722272882548</v>
      </c>
      <c r="I23" s="15">
        <f>'Debt Schedule'!I18</f>
        <v>-15.364514458033057</v>
      </c>
    </row>
    <row r="24">
      <c r="B24" t="s" s="9">
        <v>339</v>
      </c>
      <c r="C24" s="11"/>
      <c r="D24" s="11">
        <f>-'Debt Schedule'!D41</f>
        <v>0</v>
      </c>
      <c r="E24" s="11">
        <f>-'Debt Schedule'!E41</f>
        <v>0</v>
      </c>
      <c r="F24" s="11">
        <f>-'Debt Schedule'!F41</f>
        <v>0</v>
      </c>
      <c r="G24" s="11">
        <f>-'Debt Schedule'!G41</f>
        <v>0</v>
      </c>
      <c r="H24" s="11">
        <f>-'Debt Schedule'!H41</f>
        <v>0</v>
      </c>
      <c r="I24" s="11">
        <f>-'Debt Schedule'!I41</f>
        <v>0</v>
      </c>
    </row>
    <row r="25">
      <c r="B25" t="s" s="41">
        <v>340</v>
      </c>
      <c r="C25" s="50"/>
      <c r="D25" s="50">
        <f>(D9+D22+D23)/(D18+D24)</f>
        <v>1.8593464222156975</v>
      </c>
      <c r="E25" s="50">
        <f>(E9+E22+E23)/(E18+E24)</f>
        <v>1.9323867102891796</v>
      </c>
      <c r="F25" s="50">
        <f>(F9+F22+F23)/(F18+F24)</f>
        <v>1.9153330762119516</v>
      </c>
      <c r="G25" s="50">
        <f>(G9+G22+G23)/(G18+G24)</f>
        <v>2.030374105854075</v>
      </c>
      <c r="H25" s="50">
        <f>(H9+H22+H23)/(H18+H24)</f>
        <v>2.382769400998435</v>
      </c>
      <c r="I25" s="50">
        <f>(I9+I22+I23)/(I18+I24)</f>
        <v>2.836194372263684</v>
      </c>
    </row>
    <row r="26">
      <c r="B26" t="s" s="9">
        <v>341</v>
      </c>
      <c r="C26" s="25"/>
      <c r="D26" s="25">
        <f>('Debt Schedule'!D46-('Debt Schedule'!D108-'Term Sheet'!$C$10))/D10</f>
        <v>0.0013310913879607846</v>
      </c>
      <c r="E26" s="25">
        <f>('Debt Schedule'!E46-('Debt Schedule'!E108-'Term Sheet'!$C$10))/E10</f>
        <v>0.01431372931157264</v>
      </c>
      <c r="F26" s="25">
        <f>('Debt Schedule'!F46-('Debt Schedule'!F108-'Term Sheet'!$C$10))/F10</f>
        <v>0.019569204303927758</v>
      </c>
      <c r="G26" s="25">
        <f>('Debt Schedule'!G46-('Debt Schedule'!G108-'Term Sheet'!$C$10))/G10</f>
        <v>0.032121399743279905</v>
      </c>
      <c r="H26" s="25">
        <f>('Debt Schedule'!H46-('Debt Schedule'!H108-'Term Sheet'!$C$10))/H10</f>
        <v>0.05682243364903381</v>
      </c>
      <c r="I26" s="25">
        <f>('Debt Schedule'!I46-('Debt Schedule'!I108-'Term Sheet'!$C$10))/I10</f>
        <v>0.08972914789102175</v>
      </c>
    </row>
    <row r="27">
      <c r="B27" t="s" s="9">
        <v>342</v>
      </c>
      <c r="C27" s="25"/>
      <c r="D27" s="25">
        <f>1-D10/$C10</f>
        <v>-0.013029540519113425</v>
      </c>
      <c r="E27" s="25">
        <f>1-E10/$C10</f>
        <v>-0.022489455781742107</v>
      </c>
      <c r="F27" s="25">
        <f>1-F10/$C10</f>
        <v>-0.014336833827551132</v>
      </c>
      <c r="G27" s="25">
        <f>1-G10/$C10</f>
        <v>0.01723107952238212</v>
      </c>
      <c r="H27" s="25">
        <f>1-H10/$C10</f>
        <v>0.07007185957977946</v>
      </c>
      <c r="I27" s="25">
        <f>1-I10/$C10</f>
        <v>0.14664286789067515</v>
      </c>
    </row>
    <row r="28">
      <c r="B28" t="s" s="81">
        <v>457</v>
      </c>
    </row>
    <row r="29">
      <c r="B29" t="s" s="9">
        <v>458</v>
      </c>
      <c r="C29" s="11"/>
      <c r="D29" s="15">
        <f>'Debt Schedule'!D59</f>
        <v>0</v>
      </c>
      <c r="E29" s="15">
        <f>'Debt Schedule'!E59</f>
        <v>0</v>
      </c>
      <c r="F29" s="15">
        <f>'Debt Schedule'!F59</f>
        <v>0</v>
      </c>
      <c r="G29" s="15">
        <f>'Debt Schedule'!G59</f>
        <v>0</v>
      </c>
      <c r="H29" s="15">
        <f>'Debt Schedule'!H59</f>
        <v>0</v>
      </c>
      <c r="I29" s="15">
        <f>'Debt Schedule'!I59</f>
        <v>0</v>
      </c>
    </row>
    <row r="30">
      <c r="B30" t="s" s="9">
        <v>459</v>
      </c>
      <c r="C30" s="15">
        <f>'Debt Schedule'!C60</f>
        <v>0</v>
      </c>
      <c r="D30" s="15">
        <f>'Debt Schedule'!D60</f>
        <v>0</v>
      </c>
      <c r="E30" s="15">
        <f>'Debt Schedule'!E60</f>
        <v>0</v>
      </c>
      <c r="F30" s="15">
        <f>'Debt Schedule'!F60</f>
        <v>0</v>
      </c>
      <c r="G30" s="15">
        <f>'Debt Schedule'!G60</f>
        <v>0</v>
      </c>
      <c r="H30" s="15">
        <f>'Debt Schedule'!H60</f>
        <v>0</v>
      </c>
      <c r="I30" s="15">
        <f>'Debt Schedule'!I60</f>
        <v>0</v>
      </c>
    </row>
    <row r="31">
      <c r="B31" t="s" s="9">
        <v>460</v>
      </c>
      <c r="C31" s="11"/>
      <c r="D31" s="11">
        <f>MAX($D30:D30)</f>
        <v>0</v>
      </c>
      <c r="E31" s="11">
        <f>MAX($D30:E30)</f>
        <v>0</v>
      </c>
      <c r="F31" s="11">
        <f>MAX($D30:F30)</f>
        <v>0</v>
      </c>
      <c r="G31" s="11">
        <f>MAX($D30:G30)</f>
        <v>0</v>
      </c>
      <c r="H31" s="11">
        <f>MAX($D30:H30)</f>
        <v>0</v>
      </c>
      <c r="I31" s="11">
        <f>MAX($D30:I30)</f>
        <v>0</v>
      </c>
    </row>
    <row r="32">
      <c r="B32" t="s" s="9">
        <v>461</v>
      </c>
      <c r="C32" s="11">
        <f>C11-'Term Sheet'!$C$10</f>
        <v>0</v>
      </c>
      <c r="D32" s="11">
        <f>D11-'Term Sheet'!$C$10</f>
        <v>3.6407742222641275</v>
      </c>
      <c r="E32" s="11">
        <f>E11-'Term Sheet'!$C$10</f>
        <v>0</v>
      </c>
      <c r="F32" s="11">
        <f>F11-'Term Sheet'!$C$10</f>
        <v>0</v>
      </c>
      <c r="G32" s="11">
        <f>G11-'Term Sheet'!$C$10</f>
        <v>0</v>
      </c>
      <c r="H32" s="11">
        <f>H11-'Term Sheet'!$C$10</f>
        <v>0</v>
      </c>
      <c r="I32" s="11">
        <f>I11-'Term Sheet'!$C$10</f>
        <v>0</v>
      </c>
    </row>
    <row r="33">
      <c r="B33" t="s" s="41">
        <v>343</v>
      </c>
      <c r="C33" s="49">
        <f>C11+'Debt Schedule'!C61</f>
        <v>400</v>
      </c>
      <c r="D33" s="49">
        <f>D11+'Debt Schedule'!D61</f>
        <v>403.6407742222641</v>
      </c>
      <c r="E33" s="49">
        <f>E11+'Debt Schedule'!E61</f>
        <v>400</v>
      </c>
      <c r="F33" s="49">
        <f>F11+'Debt Schedule'!F61</f>
        <v>400</v>
      </c>
      <c r="G33" s="49">
        <f>G11+'Debt Schedule'!G61</f>
        <v>400</v>
      </c>
      <c r="H33" s="49">
        <f>H11+'Debt Schedule'!H61</f>
        <v>400</v>
      </c>
      <c r="I33" s="49">
        <f>I11+'Debt Schedule'!I61</f>
        <v>400</v>
      </c>
    </row>
    <row r="34">
      <c r="B34" t="s" s="81">
        <v>462</v>
      </c>
    </row>
    <row r="35">
      <c r="B35" t="s" s="9">
        <v>329</v>
      </c>
      <c r="C35" s="22">
        <f>'Term Sheet'!$C$21-C16</f>
        <v>-1.8567876811206752</v>
      </c>
      <c r="D35" s="22">
        <f>'Term Sheet'!$C$21-D16</f>
        <v>-0.4366481789439147</v>
      </c>
      <c r="E35" s="22">
        <f>'Term Sheet'!$C$21-E16</f>
        <v>0.7088644367949657</v>
      </c>
      <c r="F35" s="22">
        <f>'Term Sheet'!$C$21-F16</f>
        <v>1.620062981910606</v>
      </c>
      <c r="G35" s="22">
        <f>'Term Sheet'!$C$21-G16</f>
        <v>2.48523877133987</v>
      </c>
      <c r="H35" s="22">
        <f>'Term Sheet'!$C$21-H16</f>
        <v>3.2526885630205804</v>
      </c>
      <c r="I35" s="22">
        <f>'Term Sheet'!$C$21-I16</f>
        <v>3.995338228675192</v>
      </c>
    </row>
    <row r="36">
      <c r="B36" t="s" s="9">
        <v>463</v>
      </c>
      <c r="C36" s="51"/>
      <c r="D36" t="str" s="51">
        <f>IF(D16&lt;='Term Sheet'!$C$21,"Yes","No")</f>
        <v>No</v>
      </c>
      <c r="E36" t="str" s="51">
        <f>IF(E16&lt;='Term Sheet'!$C$21,"Yes","No")</f>
        <v>Yes</v>
      </c>
      <c r="F36" t="str" s="51">
        <f>IF(F16&lt;='Term Sheet'!$C$21,"Yes","No")</f>
        <v>Yes</v>
      </c>
      <c r="G36" t="str" s="51">
        <f>IF(G16&lt;='Term Sheet'!$C$21,"Yes","No")</f>
        <v>Yes</v>
      </c>
      <c r="H36" t="str" s="51">
        <f>IF(H16&lt;='Term Sheet'!$C$21,"Yes","No")</f>
        <v>Yes</v>
      </c>
      <c r="I36" t="str" s="51">
        <f>IF(I16&lt;='Term Sheet'!$C$21,"Yes","No")</f>
        <v>Yes</v>
      </c>
    </row>
    <row r="37">
      <c r="B37" t="s" s="9">
        <v>464</v>
      </c>
      <c r="C37" s="25"/>
      <c r="D37" s="29">
        <f>'Debt Schedule'!D49</f>
        <v>0</v>
      </c>
      <c r="E37" s="29">
        <f>'Debt Schedule'!E49</f>
        <v>0.5</v>
      </c>
      <c r="F37" s="29">
        <f>'Debt Schedule'!F49</f>
        <v>0</v>
      </c>
      <c r="G37" s="29">
        <f>'Debt Schedule'!G49</f>
        <v>0</v>
      </c>
      <c r="H37" s="29">
        <f>'Debt Schedule'!H49</f>
        <v>0</v>
      </c>
      <c r="I37" s="29">
        <f>'Debt Schedule'!I49</f>
        <v>0</v>
      </c>
    </row>
    <row r="38">
      <c r="B38" t="s" s="9">
        <v>465</v>
      </c>
      <c r="C38" s="11"/>
      <c r="D38" s="11">
        <f>-'Debt Schedule'!D52</f>
        <v>0</v>
      </c>
      <c r="E38" s="11">
        <f>-'Debt Schedule'!E52</f>
        <v>0</v>
      </c>
      <c r="F38" s="11">
        <f>-'Debt Schedule'!F52</f>
        <v>0</v>
      </c>
      <c r="G38" s="11">
        <f>-'Debt Schedule'!G52</f>
        <v>0</v>
      </c>
      <c r="H38" s="11">
        <f>-'Debt Schedule'!H52</f>
        <v>0</v>
      </c>
      <c r="I38" s="11">
        <f>-'Debt Schedule'!I52</f>
        <v>0</v>
      </c>
    </row>
    <row r="39">
      <c r="B39" t="s" s="9">
        <v>466</v>
      </c>
      <c r="C39" s="51"/>
      <c r="D39" t="str" s="51">
        <f>IF(D16&lt;='Term Sheet'!$C$42,"Yes","No")</f>
        <v>No</v>
      </c>
      <c r="E39" t="str" s="51">
        <f>IF(E16&lt;='Term Sheet'!$C$42,"Yes","No")</f>
        <v>Yes</v>
      </c>
      <c r="F39" t="str" s="51">
        <f>IF(F16&lt;='Term Sheet'!$C$42,"Yes","No")</f>
        <v>Yes</v>
      </c>
      <c r="G39" t="str" s="51">
        <f>IF(G16&lt;='Term Sheet'!$C$42,"Yes","No")</f>
        <v>Yes</v>
      </c>
      <c r="H39" t="str" s="51">
        <f>IF(H16&lt;='Term Sheet'!$C$42,"Yes","No")</f>
        <v>Yes</v>
      </c>
      <c r="I39" t="str" s="51">
        <f>IF(I16&lt;='Term Sheet'!$C$42,"Yes","No")</f>
        <v>Yes</v>
      </c>
    </row>
    <row r="40">
      <c r="B40" t="s" s="9">
        <v>331</v>
      </c>
      <c r="C40" s="22">
        <f>'Term Sheet'!$C$59-C16</f>
        <v>-1.3567876811206752</v>
      </c>
      <c r="D40" s="22">
        <f>'Term Sheet'!$C$59-D16</f>
        <v>0.06335182105608528</v>
      </c>
      <c r="E40" s="22">
        <f>'Term Sheet'!$C$59-E16</f>
        <v>1.2088644367949657</v>
      </c>
      <c r="F40" s="22">
        <f>'Term Sheet'!$C$59-F16</f>
        <v>2.120062981910606</v>
      </c>
      <c r="G40" s="22">
        <f>'Term Sheet'!$C$59-G16</f>
        <v>2.98523877133987</v>
      </c>
      <c r="H40" s="22">
        <f>'Term Sheet'!$C$59-H16</f>
        <v>3.7526885630205804</v>
      </c>
      <c r="I40" s="22">
        <f>'Term Sheet'!$C$59-I16</f>
        <v>4.495338228675192</v>
      </c>
    </row>
    <row r="41">
      <c r="B41" t="s" s="9">
        <v>467</v>
      </c>
      <c r="C41" s="51"/>
      <c r="D41" t="str" s="51">
        <f>IF(MAX('Term Sheet'!$C$7,EDATE(D6,-12))&gt;='Term Sheet'!$C$57,"Expired",IF(D16&lt;='Term Sheet'!$C$59,"Yes","No"))</f>
        <v>Yes</v>
      </c>
      <c r="E41" t="str" s="51">
        <f>IF(MAX('Term Sheet'!$C$7,EDATE(E6,-12))&gt;='Term Sheet'!$C$57,"Expired",IF(E16&lt;='Term Sheet'!$C$59,"Yes","No"))</f>
        <v>Yes</v>
      </c>
      <c r="F41" t="str" s="51">
        <f>IF(MAX('Term Sheet'!$C$7,EDATE(F6,-12))&gt;='Term Sheet'!$C$57,"Expired",IF(F16&lt;='Term Sheet'!$C$59,"Yes","No"))</f>
        <v>Yes</v>
      </c>
      <c r="G41" t="str" s="51">
        <f>IF(MAX('Term Sheet'!$C$7,EDATE(G6,-12))&gt;='Term Sheet'!$C$57,"Expired",IF(G16&lt;='Term Sheet'!$C$59,"Yes","No"))</f>
        <v>Expired</v>
      </c>
      <c r="H41" t="str" s="51">
        <f>IF(MAX('Term Sheet'!$C$7,EDATE(H6,-12))&gt;='Term Sheet'!$C$57,"Expired",IF(H16&lt;='Term Sheet'!$C$59,"Yes","No"))</f>
        <v>Expired</v>
      </c>
      <c r="I41" t="str" s="51">
        <f>IF(MAX('Term Sheet'!$C$7,EDATE(I6,-12))&gt;='Term Sheet'!$C$57,"Expired",IF(I16&lt;='Term Sheet'!$C$59,"Yes","No"))</f>
        <v>Expired</v>
      </c>
    </row>
    <row r="42">
      <c r="B42" t="s" s="9">
        <v>330</v>
      </c>
      <c r="C42" s="22">
        <f>'Term Sheet'!$C$87-C16</f>
        <v>-2.106787681120675</v>
      </c>
      <c r="D42" s="22">
        <f>'Term Sheet'!$C$87-D16</f>
        <v>-0.6866481789439147</v>
      </c>
      <c r="E42" s="22">
        <f>'Term Sheet'!$C$87-E16</f>
        <v>0.4588644367949657</v>
      </c>
      <c r="F42" s="22">
        <f>'Term Sheet'!$C$87-F16</f>
        <v>1.370062981910606</v>
      </c>
      <c r="G42" s="22">
        <f>'Term Sheet'!$C$87-G16</f>
        <v>2.23523877133987</v>
      </c>
      <c r="H42" s="22">
        <f>'Term Sheet'!$C$87-H16</f>
        <v>3.0026885630205804</v>
      </c>
      <c r="I42" s="22">
        <f>'Term Sheet'!$C$87-I16</f>
        <v>3.745338228675192</v>
      </c>
    </row>
    <row r="43">
      <c r="B43" t="s" s="81">
        <v>344</v>
      </c>
    </row>
    <row r="44">
      <c r="B44" t="s" s="9">
        <v>345</v>
      </c>
      <c r="C44" s="11">
        <f>'Debt Schedule'!C60-C11</f>
        <v>-75</v>
      </c>
      <c r="D44" s="11">
        <f>'Debt Schedule'!D60-D11</f>
        <v>-78.64077422226413</v>
      </c>
      <c r="E44" s="11">
        <f>'Debt Schedule'!E60-E11</f>
        <v>-75</v>
      </c>
      <c r="F44" s="11">
        <f>'Debt Schedule'!F60-F11</f>
        <v>-75</v>
      </c>
      <c r="G44" s="11">
        <f>'Debt Schedule'!G60-G11</f>
        <v>-75</v>
      </c>
      <c r="H44" s="11">
        <f>'Debt Schedule'!H60-H11</f>
        <v>-75</v>
      </c>
      <c r="I44" s="11">
        <f>'Debt Schedule'!I60-I11</f>
        <v>-75</v>
      </c>
    </row>
    <row r="45">
      <c r="B45" t="s" s="9">
        <v>346</v>
      </c>
      <c r="C45" s="15">
        <f>'Term Sheet'!$C$80</f>
        <v>260</v>
      </c>
      <c r="D45" s="15">
        <f>'Term Sheet'!$C$80</f>
        <v>260</v>
      </c>
      <c r="E45" s="15">
        <f>'Term Sheet'!$C$80</f>
        <v>260</v>
      </c>
      <c r="F45" s="15">
        <f>'Term Sheet'!$C$80</f>
        <v>260</v>
      </c>
      <c r="G45" s="15">
        <f>'Term Sheet'!$C$80</f>
        <v>260</v>
      </c>
      <c r="H45" s="15">
        <f>'Term Sheet'!$C$80</f>
        <v>260</v>
      </c>
      <c r="I45" s="15">
        <f>'Term Sheet'!$C$80</f>
        <v>260</v>
      </c>
    </row>
    <row r="46">
      <c r="B46" t="s" s="9">
        <v>347</v>
      </c>
      <c r="C46" s="51"/>
      <c r="D46" t="str" s="51">
        <f>IF(AND(D6&gt;='Term Sheet'!$C$81,D44&gt;D45),"Tested","Not tested")</f>
        <v>Not tested</v>
      </c>
      <c r="E46" t="str" s="51">
        <f>IF(AND(E6&gt;='Term Sheet'!$C$81,E44&gt;E45),"Tested","Not tested")</f>
        <v>Not tested</v>
      </c>
      <c r="F46" t="str" s="51">
        <f>IF(AND(F6&gt;='Term Sheet'!$C$81,F44&gt;F45),"Tested","Not tested")</f>
        <v>Not tested</v>
      </c>
      <c r="G46" t="str" s="51">
        <f>IF(AND(G6&gt;='Term Sheet'!$C$81,G44&gt;G45),"Tested","Not tested")</f>
        <v>Not tested</v>
      </c>
      <c r="H46" t="str" s="51">
        <f>IF(AND(H6&gt;='Term Sheet'!$C$81,H44&gt;H45),"Tested","Not tested")</f>
        <v>Not tested</v>
      </c>
      <c r="I46" t="str" s="51">
        <f>IF(AND(I6&gt;='Term Sheet'!$C$81,I44&gt;I45),"Tested","Not tested")</f>
        <v>Not tested</v>
      </c>
    </row>
    <row r="47">
      <c r="B47" t="s" s="9">
        <v>348</v>
      </c>
      <c r="C47" s="11">
        <f>C45-C44</f>
        <v>335</v>
      </c>
      <c r="D47" s="11">
        <f>D45-D44</f>
        <v>338.6407742222641</v>
      </c>
      <c r="E47" s="11">
        <f>E45-E44</f>
        <v>335</v>
      </c>
      <c r="F47" s="11">
        <f>F45-F44</f>
        <v>335</v>
      </c>
      <c r="G47" s="11">
        <f>G45-G44</f>
        <v>335</v>
      </c>
      <c r="H47" s="11">
        <f>H45-H44</f>
        <v>335</v>
      </c>
      <c r="I47" s="11">
        <f>I45-I44</f>
        <v>335</v>
      </c>
    </row>
    <row r="48">
      <c r="B48" t="s" s="9">
        <v>349</v>
      </c>
      <c r="C48" s="15">
        <f>'Debt Schedule'!C61</f>
        <v>325</v>
      </c>
      <c r="D48" s="15">
        <f>'Debt Schedule'!D61</f>
        <v>325</v>
      </c>
      <c r="E48" s="15">
        <f>'Debt Schedule'!E61</f>
        <v>325</v>
      </c>
      <c r="F48" s="15">
        <f>'Debt Schedule'!F61</f>
        <v>325</v>
      </c>
      <c r="G48" s="15">
        <f>'Debt Schedule'!G61</f>
        <v>325</v>
      </c>
      <c r="H48" s="15">
        <f>'Debt Schedule'!H61</f>
        <v>325</v>
      </c>
      <c r="I48" s="15">
        <f>'Debt Schedule'!I61</f>
        <v>325</v>
      </c>
    </row>
    <row r="49">
      <c r="B49" t="s" s="9">
        <v>67</v>
      </c>
      <c r="C49" s="55">
        <f>'Term Sheet'!$C$77</f>
        <v>15</v>
      </c>
      <c r="D49" s="55">
        <f>'Term Sheet'!$C$77</f>
        <v>15</v>
      </c>
      <c r="E49" s="55">
        <f>'Term Sheet'!$C$77</f>
        <v>15</v>
      </c>
      <c r="F49" s="55">
        <f>'Term Sheet'!$C$77</f>
        <v>15</v>
      </c>
      <c r="G49" s="55">
        <f>'Term Sheet'!$C$77</f>
        <v>15</v>
      </c>
      <c r="H49" s="55">
        <f>'Term Sheet'!$C$77</f>
        <v>15</v>
      </c>
      <c r="I49" s="55">
        <f>'Term Sheet'!$C$77</f>
        <v>15</v>
      </c>
    </row>
    <row r="50">
      <c r="B50" t="s" s="9">
        <v>351</v>
      </c>
      <c r="C50" s="22">
        <f>C49-C16</f>
        <v>5.643212318879325</v>
      </c>
      <c r="D50" s="22">
        <f>D49-D16</f>
        <v>7.063351821056085</v>
      </c>
      <c r="E50" s="22">
        <f>E49-E16</f>
        <v>8.208864436794965</v>
      </c>
      <c r="F50" s="22">
        <f>F49-F16</f>
        <v>9.120062981910607</v>
      </c>
      <c r="G50" s="22">
        <f>G49-G16</f>
        <v>9.98523877133987</v>
      </c>
      <c r="H50" s="22">
        <f>H49-H16</f>
        <v>10.75268856302058</v>
      </c>
      <c r="I50" s="22">
        <f>I49-I16</f>
        <v>11.495338228675191</v>
      </c>
    </row>
    <row r="51">
      <c r="B51" t="s" s="41">
        <v>352</v>
      </c>
      <c r="C51" s="53">
        <f>1-C16/C49</f>
        <v>0.37621415459195495</v>
      </c>
      <c r="D51" s="53">
        <f>1-D16/D49</f>
        <v>0.470890121403739</v>
      </c>
      <c r="E51" s="53">
        <f>1-E16/E49</f>
        <v>0.5472576291196644</v>
      </c>
      <c r="F51" s="53">
        <f>1-F16/F49</f>
        <v>0.6080041987940403</v>
      </c>
      <c r="G51" s="53">
        <f>1-G16/G49</f>
        <v>0.6656825847559913</v>
      </c>
      <c r="H51" s="53">
        <f>1-H16/H49</f>
        <v>0.716845904201372</v>
      </c>
      <c r="I51" s="53">
        <f>1-I16/I49</f>
        <v>0.7663558819116795</v>
      </c>
    </row>
    <row r="52">
      <c r="B52" t="s" s="9">
        <v>353</v>
      </c>
      <c r="C52" s="11">
        <f>C8-C12/C49</f>
        <v>105.54500000000002</v>
      </c>
      <c r="D52" s="11">
        <f>D8-D12/D49</f>
        <v>157.61539847055704</v>
      </c>
      <c r="E52" s="11">
        <f>E8-E12/E49</f>
        <v>216.42648473711156</v>
      </c>
      <c r="F52" s="11">
        <f>F8-F12/F49</f>
        <v>275.4360337187637</v>
      </c>
      <c r="G52" s="11">
        <f>G8-G12/G49</f>
        <v>342.2788338111322</v>
      </c>
      <c r="H52" s="11">
        <f>H8-H12/H49</f>
        <v>411.1065471604851</v>
      </c>
      <c r="I52" s="11">
        <f>I8-I12/I49</f>
        <v>487.424069921501</v>
      </c>
    </row>
    <row r="54">
      <c r="B54" t="s" s="34">
        <v>318</v>
      </c>
      <c r="C54" s="34"/>
      <c r="D54" s="34"/>
      <c r="E54" s="34"/>
      <c r="F54" s="34"/>
      <c r="G54" s="34"/>
      <c r="H54" s="34"/>
      <c r="I54" s="34"/>
    </row>
    <row r="55">
      <c r="B55" t="s" s="4">
        <v>215</v>
      </c>
      <c r="C55" s="38">
        <f>'Debt Schedule'!K$6</f>
        <v>46198</v>
      </c>
      <c r="D55" s="39">
        <f>'Debt Schedule'!L$6</f>
        <v>46387</v>
      </c>
      <c r="E55" s="39">
        <f>'Debt Schedule'!M$6</f>
        <v>46752</v>
      </c>
      <c r="F55" s="39">
        <f>'Debt Schedule'!N$6</f>
        <v>47118</v>
      </c>
      <c r="G55" s="39">
        <f>'Debt Schedule'!O$6</f>
        <v>47483</v>
      </c>
      <c r="H55" s="39">
        <f>'Debt Schedule'!P$6</f>
        <v>47848</v>
      </c>
      <c r="I55" s="39">
        <f>'Debt Schedule'!Q$6</f>
        <v>48213</v>
      </c>
    </row>
    <row r="56">
      <c r="B56" t="s" s="81">
        <v>321</v>
      </c>
    </row>
    <row r="57">
      <c r="B57" t="s" s="9">
        <v>322</v>
      </c>
      <c r="C57" s="15">
        <f>'Term Sheet'!$C$12</f>
        <v>280.545</v>
      </c>
      <c r="D57" s="15">
        <f>'Debt Schedule'!L22</f>
        <v>338.6334027397261</v>
      </c>
      <c r="E57" s="15">
        <f>'Debt Schedule'!M22</f>
        <v>418.78332054794527</v>
      </c>
      <c r="F57" s="15">
        <f>'Debt Schedule'!N22</f>
        <v>518.9707178082192</v>
      </c>
      <c r="G57" s="15">
        <f>'Debt Schedule'!O22</f>
        <v>635.1880986301371</v>
      </c>
      <c r="H57" s="15">
        <f>'Debt Schedule'!P22</f>
        <v>764.4298410958905</v>
      </c>
      <c r="I57" s="15">
        <f>'Debt Schedule'!Q22</f>
        <v>896.7205265100274</v>
      </c>
    </row>
    <row r="58">
      <c r="B58" t="s" s="9">
        <v>323</v>
      </c>
      <c r="C58" s="11"/>
      <c r="D58" s="11">
        <f>'Debt Schedule'!L11*'Debt Schedule'!L7+'Debt Schedule'!L20</f>
        <v>175.34715922687187</v>
      </c>
      <c r="E58" s="11">
        <f>'Debt Schedule'!M11*'Debt Schedule'!M7+'Debt Schedule'!M20</f>
        <v>418.78332054794527</v>
      </c>
      <c r="F58" s="11">
        <f>'Debt Schedule'!N11*'Debt Schedule'!N7+'Debt Schedule'!N20</f>
        <v>518.9707178082192</v>
      </c>
      <c r="G58" s="11">
        <f>'Debt Schedule'!O11*'Debt Schedule'!O7+'Debt Schedule'!O20</f>
        <v>635.1880986301371</v>
      </c>
      <c r="H58" s="11">
        <f>'Debt Schedule'!P11*'Debt Schedule'!P7+'Debt Schedule'!P20</f>
        <v>764.4298410958905</v>
      </c>
      <c r="I58" s="11">
        <f>'Debt Schedule'!Q11*'Debt Schedule'!Q7+'Debt Schedule'!Q20</f>
        <v>896.7205265100274</v>
      </c>
    </row>
    <row r="59">
      <c r="B59" t="s" s="9">
        <v>324</v>
      </c>
      <c r="C59" s="15">
        <f>'Debt Schedule'!K116</f>
        <v>2700</v>
      </c>
      <c r="D59" s="15">
        <f>'Debt Schedule'!L116</f>
        <v>2735.179759401606</v>
      </c>
      <c r="E59" s="15">
        <f>'Debt Schedule'!M116</f>
        <v>2722.0663515034125</v>
      </c>
      <c r="F59" s="15">
        <f>'Debt Schedule'!N116</f>
        <v>2610.5551993024296</v>
      </c>
      <c r="G59" s="15">
        <f>'Debt Schedule'!O116</f>
        <v>2364.7709390795653</v>
      </c>
      <c r="H59" s="15">
        <f>'Debt Schedule'!P116</f>
        <v>1970.1437018443035</v>
      </c>
      <c r="I59" s="15">
        <f>'Debt Schedule'!Q116</f>
        <v>1412.0384483242742</v>
      </c>
    </row>
    <row r="60">
      <c r="B60" t="s" s="9">
        <v>289</v>
      </c>
      <c r="C60" s="15">
        <f>'Debt Schedule'!K110</f>
        <v>75</v>
      </c>
      <c r="D60" s="15">
        <f>'Debt Schedule'!L110</f>
        <v>82.43774132691858</v>
      </c>
      <c r="E60" s="15">
        <f>'Debt Schedule'!M110</f>
        <v>75</v>
      </c>
      <c r="F60" s="15">
        <f>'Debt Schedule'!N110</f>
        <v>75</v>
      </c>
      <c r="G60" s="15">
        <f>'Debt Schedule'!O110</f>
        <v>75</v>
      </c>
      <c r="H60" s="15">
        <f>'Debt Schedule'!P110</f>
        <v>75</v>
      </c>
      <c r="I60" s="15">
        <f>'Debt Schedule'!Q110</f>
        <v>75</v>
      </c>
    </row>
    <row r="61">
      <c r="B61" t="s" s="41">
        <v>297</v>
      </c>
      <c r="C61" s="49">
        <f>C59-C60</f>
        <v>2625</v>
      </c>
      <c r="D61" s="49">
        <f>D59-D60</f>
        <v>2652.7420180746876</v>
      </c>
      <c r="E61" s="49">
        <f>E59-E60</f>
        <v>2647.0663515034125</v>
      </c>
      <c r="F61" s="49">
        <f>F59-F60</f>
        <v>2535.5551993024296</v>
      </c>
      <c r="G61" s="49">
        <f>G59-G60</f>
        <v>2289.7709390795653</v>
      </c>
      <c r="H61" s="49">
        <f>H59-H60</f>
        <v>1895.1437018443035</v>
      </c>
      <c r="I61" s="49">
        <f>I59-I60</f>
        <v>1337.0384483242742</v>
      </c>
    </row>
    <row r="62">
      <c r="B62" t="s" s="81">
        <v>325</v>
      </c>
    </row>
    <row r="63">
      <c r="B63" t="s" s="9">
        <v>326</v>
      </c>
      <c r="C63" s="22">
        <f>C59/C57</f>
        <v>9.624124472009838</v>
      </c>
      <c r="D63" s="22">
        <f>D59/D57</f>
        <v>8.077111523176784</v>
      </c>
      <c r="E63" s="22">
        <f>E59/E57</f>
        <v>6.499939749132801</v>
      </c>
      <c r="F63" s="22">
        <f>F59/F57</f>
        <v>5.030255291334445</v>
      </c>
      <c r="G63" s="22">
        <f>G59/G57</f>
        <v>3.722945918192565</v>
      </c>
      <c r="H63" s="22">
        <f>H59/H57</f>
        <v>2.577272099974401</v>
      </c>
      <c r="I63" s="22">
        <f>I59/I57</f>
        <v>1.574669483500983</v>
      </c>
    </row>
    <row r="64">
      <c r="B64" t="s" s="9">
        <v>327</v>
      </c>
      <c r="C64" s="22">
        <f>C61/C57</f>
        <v>9.356787681120675</v>
      </c>
      <c r="D64" s="22">
        <f>D61/D57</f>
        <v>7.833669084657863</v>
      </c>
      <c r="E64" s="22">
        <f>E61/E57</f>
        <v>6.320849521991308</v>
      </c>
      <c r="F64" s="22">
        <f>F61/F57</f>
        <v>4.8857384671160204</v>
      </c>
      <c r="G64" s="22">
        <f>G61/G57</f>
        <v>3.604870658026723</v>
      </c>
      <c r="H64" s="22">
        <f>H61/H57</f>
        <v>2.479159760596755</v>
      </c>
      <c r="I64" s="22">
        <f>I61/I57</f>
        <v>1.491031384692322</v>
      </c>
    </row>
    <row r="65">
      <c r="B65" t="s" s="41">
        <v>328</v>
      </c>
      <c r="C65" s="54">
        <f>'Debt Schedule'!K120</f>
        <v>9.356787681120675</v>
      </c>
      <c r="D65" s="54">
        <f>'Debt Schedule'!L120</f>
        <v>7.833669084657863</v>
      </c>
      <c r="E65" s="54">
        <f>'Debt Schedule'!M120</f>
        <v>6.320849521991308</v>
      </c>
      <c r="F65" s="54">
        <f>'Debt Schedule'!N120</f>
        <v>4.8857384671160204</v>
      </c>
      <c r="G65" s="54">
        <f>'Debt Schedule'!O120</f>
        <v>3.604870658026723</v>
      </c>
      <c r="H65" s="54">
        <f>'Debt Schedule'!P120</f>
        <v>2.479159760596755</v>
      </c>
      <c r="I65" s="54">
        <f>'Debt Schedule'!Q120</f>
        <v>1.491031384692322</v>
      </c>
    </row>
    <row r="66">
      <c r="B66" t="s" s="81">
        <v>333</v>
      </c>
    </row>
    <row r="67">
      <c r="B67" t="s" s="9">
        <v>334</v>
      </c>
      <c r="C67" s="11"/>
      <c r="D67" s="15">
        <f>'Debt Schedule'!L101</f>
        <v>87.05266708154969</v>
      </c>
      <c r="E67" s="15">
        <f>'Debt Schedule'!M101</f>
        <v>189.7487328953606</v>
      </c>
      <c r="F67" s="15">
        <f>'Debt Schedule'!N101</f>
        <v>214.25672734419317</v>
      </c>
      <c r="G67" s="15">
        <f>'Debt Schedule'!O101</f>
        <v>218.1729280123536</v>
      </c>
      <c r="H67" s="15">
        <f>'Debt Schedule'!P101</f>
        <v>188.6703888855945</v>
      </c>
      <c r="I67" s="15">
        <f>'Debt Schedule'!Q101</f>
        <v>147.22424196624956</v>
      </c>
    </row>
    <row r="68">
      <c r="B68" t="s" s="9">
        <v>285</v>
      </c>
      <c r="C68" s="11"/>
      <c r="D68" s="15">
        <f>'Debt Schedule'!L102</f>
        <v>35.17975940160628</v>
      </c>
      <c r="E68" s="15">
        <f>'Debt Schedule'!M102</f>
        <v>68.21557638631272</v>
      </c>
      <c r="F68" s="15">
        <f>'Debt Schedule'!N102</f>
        <v>30.624327656011</v>
      </c>
      <c r="G68" s="15">
        <f>'Debt Schedule'!O102</f>
        <v>0</v>
      </c>
      <c r="H68" s="15">
        <f>'Debt Schedule'!P102</f>
        <v>0</v>
      </c>
      <c r="I68" s="15">
        <f>'Debt Schedule'!Q102</f>
        <v>0</v>
      </c>
    </row>
    <row r="69">
      <c r="B69" t="s" s="41">
        <v>335</v>
      </c>
      <c r="C69" s="50"/>
      <c r="D69" s="50">
        <f>D58/D67</f>
        <v>2.014265215591949</v>
      </c>
      <c r="E69" s="50">
        <f>E58/E67</f>
        <v>2.2070414603447643</v>
      </c>
      <c r="F69" s="50">
        <f>F58/F67</f>
        <v>2.4221910053471394</v>
      </c>
      <c r="G69" s="50">
        <f>G58/G67</f>
        <v>2.911397414963285</v>
      </c>
      <c r="H69" s="50">
        <f>H58/H67</f>
        <v>4.051668338688928</v>
      </c>
      <c r="I69" s="50">
        <f>I58/I67</f>
        <v>6.090848317735582</v>
      </c>
    </row>
    <row r="70">
      <c r="B70" t="s" s="9">
        <v>336</v>
      </c>
      <c r="C70" s="22"/>
      <c r="D70" s="22">
        <f>D58/(D67+D68)</f>
        <v>1.4345388066973808</v>
      </c>
      <c r="E70" s="22">
        <f>E58/(E67+E68)</f>
        <v>1.6234157419454192</v>
      </c>
      <c r="F70" s="22">
        <f>F58/(F67+F68)</f>
        <v>2.119276715006747</v>
      </c>
      <c r="G70" s="22">
        <f>G58/(G67+G68)</f>
        <v>2.911397414963285</v>
      </c>
      <c r="H70" s="22">
        <f>H58/(H67+H68)</f>
        <v>4.051668338688928</v>
      </c>
      <c r="I70" s="22">
        <f>I58/(I67+I68)</f>
        <v>6.090848317735582</v>
      </c>
    </row>
    <row r="71">
      <c r="B71" t="s" s="9">
        <v>337</v>
      </c>
      <c r="C71" s="11"/>
      <c r="D71" s="15">
        <f>'Debt Schedule'!L17</f>
        <v>-10.72834098465003</v>
      </c>
      <c r="E71" s="15">
        <f>'Debt Schedule'!M17</f>
        <v>-16.530920547945207</v>
      </c>
      <c r="F71" s="15">
        <f>'Debt Schedule'!N17</f>
        <v>-19.506486246575346</v>
      </c>
      <c r="G71" s="15">
        <f>'Debt Schedule'!O17</f>
        <v>-23.00803578082192</v>
      </c>
      <c r="H71" s="15">
        <f>'Debt Schedule'!P17</f>
        <v>-27.155794027397263</v>
      </c>
      <c r="I71" s="15">
        <f>'Debt Schedule'!Q17</f>
        <v>-31.500721071780823</v>
      </c>
    </row>
    <row r="72">
      <c r="B72" t="s" s="9">
        <v>338</v>
      </c>
      <c r="C72" s="11"/>
      <c r="D72" s="15">
        <f>'Debt Schedule'!L18</f>
        <v>-3.4889676248897388</v>
      </c>
      <c r="E72" s="15">
        <f>'Debt Schedule'!M18</f>
        <v>-9.648711828493163</v>
      </c>
      <c r="F72" s="15">
        <f>'Debt Schedule'!N18</f>
        <v>-13.01869226703559</v>
      </c>
      <c r="G72" s="15">
        <f>'Debt Schedule'!O18</f>
        <v>-16.919180503117786</v>
      </c>
      <c r="H72" s="15">
        <f>'Debt Schedule'!P18</f>
        <v>-21.237390574273945</v>
      </c>
      <c r="I72" s="15">
        <f>'Debt Schedule'!Q18</f>
        <v>-25.695939945515647</v>
      </c>
    </row>
    <row r="73">
      <c r="B73" t="s" s="9">
        <v>339</v>
      </c>
      <c r="C73" s="11"/>
      <c r="D73" s="11">
        <f>-'Debt Schedule'!L41</f>
        <v>0</v>
      </c>
      <c r="E73" s="11">
        <f>-'Debt Schedule'!M41</f>
        <v>0</v>
      </c>
      <c r="F73" s="11">
        <f>-'Debt Schedule'!N41</f>
        <v>0</v>
      </c>
      <c r="G73" s="11">
        <f>-'Debt Schedule'!O41</f>
        <v>0</v>
      </c>
      <c r="H73" s="11">
        <f>-'Debt Schedule'!P41</f>
        <v>0</v>
      </c>
      <c r="I73" s="11">
        <f>-'Debt Schedule'!Q41</f>
        <v>0</v>
      </c>
    </row>
    <row r="74">
      <c r="B74" t="s" s="41">
        <v>340</v>
      </c>
      <c r="C74" s="50"/>
      <c r="D74" s="50">
        <f>(D58+D71+D72)/(D67+D73)</f>
        <v>1.8509467431524869</v>
      </c>
      <c r="E74" s="50">
        <f>(E58+E71+E72)/(E67+E73)</f>
        <v>2.069071461931782</v>
      </c>
      <c r="F74" s="50">
        <f>(F58+F71+F72)/(F67+F73)</f>
        <v>2.2703863039649477</v>
      </c>
      <c r="G74" s="50">
        <f>(G58+G71+G72)/(G67+G73)</f>
        <v>2.7283902167389527</v>
      </c>
      <c r="H74" s="50">
        <f>(H58+H71+H72)/(H67+H73)</f>
        <v>3.795172420662195</v>
      </c>
      <c r="I74" s="50">
        <f>(I58+I71+I72)/(I67+I73)</f>
        <v>5.702348025573041</v>
      </c>
    </row>
    <row r="75">
      <c r="B75" t="s" s="9">
        <v>341</v>
      </c>
      <c r="C75" s="25"/>
      <c r="D75" s="25">
        <f>('Debt Schedule'!L46-('Debt Schedule'!L108-'Term Sheet'!$C$10))/D59</f>
        <v>0.002719287937603703</v>
      </c>
      <c r="E75" s="25">
        <f>('Debt Schedule'!M46-('Debt Schedule'!M108-'Term Sheet'!$C$10))/E59</f>
        <v>0.027145276204151848</v>
      </c>
      <c r="F75" s="25">
        <f>('Debt Schedule'!N46-('Debt Schedule'!N108-'Term Sheet'!$C$10))/F59</f>
        <v>0.05444645640704093</v>
      </c>
      <c r="G75" s="25">
        <f>('Debt Schedule'!O46-('Debt Schedule'!O108-'Term Sheet'!$C$10))/G59</f>
        <v>0.10393575807326626</v>
      </c>
      <c r="H75" s="25">
        <f>('Debt Schedule'!P46-('Debt Schedule'!P108-'Term Sheet'!$C$10))/H59</f>
        <v>0.20030378335643273</v>
      </c>
      <c r="I75" s="25">
        <f>('Debt Schedule'!Q46-('Debt Schedule'!Q108-'Term Sheet'!$C$10))/I59</f>
        <v>0.39524791565155776</v>
      </c>
    </row>
    <row r="76">
      <c r="B76" t="s" s="9">
        <v>342</v>
      </c>
      <c r="C76" s="25"/>
      <c r="D76" s="25">
        <f>1-D59/$C59</f>
        <v>-0.013029540519113425</v>
      </c>
      <c r="E76" s="25">
        <f>1-E59/$C59</f>
        <v>-0.008172722779041575</v>
      </c>
      <c r="F76" s="25">
        <f>1-F59/$C59</f>
        <v>0.033127703962063104</v>
      </c>
      <c r="G76" s="25">
        <f>1-G59/$C59</f>
        <v>0.12415891145201285</v>
      </c>
      <c r="H76" s="25">
        <f>1-H59/$C59</f>
        <v>0.27031714746507285</v>
      </c>
      <c r="I76" s="25">
        <f>1-I59/$C59</f>
        <v>0.4770227969169355</v>
      </c>
    </row>
    <row r="77">
      <c r="B77" t="s" s="81">
        <v>457</v>
      </c>
    </row>
    <row r="78">
      <c r="B78" t="s" s="9">
        <v>458</v>
      </c>
      <c r="C78" s="11"/>
      <c r="D78" s="15">
        <f>'Debt Schedule'!L59</f>
        <v>0</v>
      </c>
      <c r="E78" s="15">
        <f>'Debt Schedule'!M59</f>
        <v>0</v>
      </c>
      <c r="F78" s="15">
        <f>'Debt Schedule'!N59</f>
        <v>0</v>
      </c>
      <c r="G78" s="15">
        <f>'Debt Schedule'!O59</f>
        <v>0</v>
      </c>
      <c r="H78" s="15">
        <f>'Debt Schedule'!P59</f>
        <v>0</v>
      </c>
      <c r="I78" s="15">
        <f>'Debt Schedule'!Q59</f>
        <v>0</v>
      </c>
    </row>
    <row r="79">
      <c r="B79" t="s" s="9">
        <v>459</v>
      </c>
      <c r="C79" s="15">
        <f>'Debt Schedule'!K60</f>
        <v>0</v>
      </c>
      <c r="D79" s="15">
        <f>'Debt Schedule'!L60</f>
        <v>0</v>
      </c>
      <c r="E79" s="15">
        <f>'Debt Schedule'!M60</f>
        <v>0</v>
      </c>
      <c r="F79" s="15">
        <f>'Debt Schedule'!N60</f>
        <v>0</v>
      </c>
      <c r="G79" s="15">
        <f>'Debt Schedule'!O60</f>
        <v>0</v>
      </c>
      <c r="H79" s="15">
        <f>'Debt Schedule'!P60</f>
        <v>0</v>
      </c>
      <c r="I79" s="15">
        <f>'Debt Schedule'!Q60</f>
        <v>0</v>
      </c>
    </row>
    <row r="80">
      <c r="B80" t="s" s="9">
        <v>460</v>
      </c>
      <c r="C80" s="11"/>
      <c r="D80" s="11">
        <f>MAX($D79:D79)</f>
        <v>0</v>
      </c>
      <c r="E80" s="11">
        <f>MAX($D79:E79)</f>
        <v>0</v>
      </c>
      <c r="F80" s="11">
        <f>MAX($D79:F79)</f>
        <v>0</v>
      </c>
      <c r="G80" s="11">
        <f>MAX($D79:G79)</f>
        <v>0</v>
      </c>
      <c r="H80" s="11">
        <f>MAX($D79:H79)</f>
        <v>0</v>
      </c>
      <c r="I80" s="11">
        <f>MAX($D79:I79)</f>
        <v>0</v>
      </c>
    </row>
    <row r="81">
      <c r="B81" t="s" s="9">
        <v>461</v>
      </c>
      <c r="C81" s="11">
        <f>C60-'Term Sheet'!$C$10</f>
        <v>0</v>
      </c>
      <c r="D81" s="11">
        <f>D60-'Term Sheet'!$C$10</f>
        <v>7.437741326918584</v>
      </c>
      <c r="E81" s="11">
        <f>E60-'Term Sheet'!$C$10</f>
        <v>0</v>
      </c>
      <c r="F81" s="11">
        <f>F60-'Term Sheet'!$C$10</f>
        <v>0</v>
      </c>
      <c r="G81" s="11">
        <f>G60-'Term Sheet'!$C$10</f>
        <v>0</v>
      </c>
      <c r="H81" s="11">
        <f>H60-'Term Sheet'!$C$10</f>
        <v>0</v>
      </c>
      <c r="I81" s="11">
        <f>I60-'Term Sheet'!$C$10</f>
        <v>0</v>
      </c>
    </row>
    <row r="82">
      <c r="B82" t="s" s="41">
        <v>343</v>
      </c>
      <c r="C82" s="49">
        <f>C60+'Debt Schedule'!K61</f>
        <v>400</v>
      </c>
      <c r="D82" s="49">
        <f>D60+'Debt Schedule'!L61</f>
        <v>407.43774132691857</v>
      </c>
      <c r="E82" s="49">
        <f>E60+'Debt Schedule'!M61</f>
        <v>400</v>
      </c>
      <c r="F82" s="49">
        <f>F60+'Debt Schedule'!N61</f>
        <v>400</v>
      </c>
      <c r="G82" s="49">
        <f>G60+'Debt Schedule'!O61</f>
        <v>400</v>
      </c>
      <c r="H82" s="49">
        <f>H60+'Debt Schedule'!P61</f>
        <v>400</v>
      </c>
      <c r="I82" s="49">
        <f>I60+'Debt Schedule'!Q61</f>
        <v>400</v>
      </c>
    </row>
    <row r="83">
      <c r="B83" t="s" s="81">
        <v>462</v>
      </c>
    </row>
    <row r="84">
      <c r="B84" t="s" s="9">
        <v>329</v>
      </c>
      <c r="C84" s="22">
        <f>'Term Sheet'!$C$21-C65</f>
        <v>-1.8567876811206752</v>
      </c>
      <c r="D84" s="22">
        <f>'Term Sheet'!$C$21-D65</f>
        <v>-0.3336690846578634</v>
      </c>
      <c r="E84" s="22">
        <f>'Term Sheet'!$C$21-E65</f>
        <v>1.179150478008692</v>
      </c>
      <c r="F84" s="22">
        <f>'Term Sheet'!$C$21-F65</f>
        <v>2.6142615328839796</v>
      </c>
      <c r="G84" s="22">
        <f>'Term Sheet'!$C$21-G65</f>
        <v>3.895129341973277</v>
      </c>
      <c r="H84" s="22">
        <f>'Term Sheet'!$C$21-H65</f>
        <v>5.020840239403245</v>
      </c>
      <c r="I84" s="22">
        <f>'Term Sheet'!$C$21-I65</f>
        <v>6.008968615307678</v>
      </c>
    </row>
    <row r="85">
      <c r="B85" t="s" s="9">
        <v>463</v>
      </c>
      <c r="C85" s="51"/>
      <c r="D85" t="str" s="51">
        <f>IF(D65&lt;='Term Sheet'!$C$21,"Yes","No")</f>
        <v>No</v>
      </c>
      <c r="E85" t="str" s="51">
        <f>IF(E65&lt;='Term Sheet'!$C$21,"Yes","No")</f>
        <v>Yes</v>
      </c>
      <c r="F85" t="str" s="51">
        <f>IF(F65&lt;='Term Sheet'!$C$21,"Yes","No")</f>
        <v>Yes</v>
      </c>
      <c r="G85" t="str" s="51">
        <f>IF(G65&lt;='Term Sheet'!$C$21,"Yes","No")</f>
        <v>Yes</v>
      </c>
      <c r="H85" t="str" s="51">
        <f>IF(H65&lt;='Term Sheet'!$C$21,"Yes","No")</f>
        <v>Yes</v>
      </c>
      <c r="I85" t="str" s="51">
        <f>IF(I65&lt;='Term Sheet'!$C$21,"Yes","No")</f>
        <v>Yes</v>
      </c>
    </row>
    <row r="86">
      <c r="B86" t="s" s="9">
        <v>464</v>
      </c>
      <c r="C86" s="25"/>
      <c r="D86" s="29">
        <f>'Debt Schedule'!L49</f>
        <v>0</v>
      </c>
      <c r="E86" s="29">
        <f>'Debt Schedule'!M49</f>
        <v>0.5</v>
      </c>
      <c r="F86" s="29">
        <f>'Debt Schedule'!N49</f>
        <v>0</v>
      </c>
      <c r="G86" s="29">
        <f>'Debt Schedule'!O49</f>
        <v>0</v>
      </c>
      <c r="H86" s="29">
        <f>'Debt Schedule'!P49</f>
        <v>0</v>
      </c>
      <c r="I86" s="29">
        <f>'Debt Schedule'!Q49</f>
        <v>0</v>
      </c>
    </row>
    <row r="87">
      <c r="B87" t="s" s="9">
        <v>465</v>
      </c>
      <c r="C87" s="11"/>
      <c r="D87" s="11">
        <f>-'Debt Schedule'!L52</f>
        <v>0</v>
      </c>
      <c r="E87" s="11">
        <f>-'Debt Schedule'!M52</f>
        <v>0</v>
      </c>
      <c r="F87" s="11">
        <f>-'Debt Schedule'!N52</f>
        <v>0</v>
      </c>
      <c r="G87" s="11">
        <f>-'Debt Schedule'!O52</f>
        <v>0</v>
      </c>
      <c r="H87" s="11">
        <f>-'Debt Schedule'!P52</f>
        <v>0</v>
      </c>
      <c r="I87" s="11">
        <f>-'Debt Schedule'!Q52</f>
        <v>0</v>
      </c>
    </row>
    <row r="88">
      <c r="B88" t="s" s="9">
        <v>466</v>
      </c>
      <c r="C88" s="51"/>
      <c r="D88" t="str" s="51">
        <f>IF(D65&lt;='Term Sheet'!$C$42,"Yes","No")</f>
        <v>No</v>
      </c>
      <c r="E88" t="str" s="51">
        <f>IF(E65&lt;='Term Sheet'!$C$42,"Yes","No")</f>
        <v>Yes</v>
      </c>
      <c r="F88" t="str" s="51">
        <f>IF(F65&lt;='Term Sheet'!$C$42,"Yes","No")</f>
        <v>Yes</v>
      </c>
      <c r="G88" t="str" s="51">
        <f>IF(G65&lt;='Term Sheet'!$C$42,"Yes","No")</f>
        <v>Yes</v>
      </c>
      <c r="H88" t="str" s="51">
        <f>IF(H65&lt;='Term Sheet'!$C$42,"Yes","No")</f>
        <v>Yes</v>
      </c>
      <c r="I88" t="str" s="51">
        <f>IF(I65&lt;='Term Sheet'!$C$42,"Yes","No")</f>
        <v>Yes</v>
      </c>
    </row>
    <row r="89">
      <c r="B89" t="s" s="9">
        <v>331</v>
      </c>
      <c r="C89" s="22">
        <f>'Term Sheet'!$C$59-C65</f>
        <v>-1.3567876811206752</v>
      </c>
      <c r="D89" s="22">
        <f>'Term Sheet'!$C$59-D65</f>
        <v>0.16633091534213662</v>
      </c>
      <c r="E89" s="22">
        <f>'Term Sheet'!$C$59-E65</f>
        <v>1.679150478008692</v>
      </c>
      <c r="F89" s="22">
        <f>'Term Sheet'!$C$59-F65</f>
        <v>3.1142615328839796</v>
      </c>
      <c r="G89" s="22">
        <f>'Term Sheet'!$C$59-G65</f>
        <v>4.395129341973277</v>
      </c>
      <c r="H89" s="22">
        <f>'Term Sheet'!$C$59-H65</f>
        <v>5.520840239403245</v>
      </c>
      <c r="I89" s="22">
        <f>'Term Sheet'!$C$59-I65</f>
        <v>6.508968615307678</v>
      </c>
    </row>
    <row r="90">
      <c r="B90" t="s" s="9">
        <v>467</v>
      </c>
      <c r="C90" s="51"/>
      <c r="D90" t="str" s="51">
        <f>IF(MAX('Term Sheet'!$C$7,EDATE(D55,-12))&gt;='Term Sheet'!$C$57,"Expired",IF(D65&lt;='Term Sheet'!$C$59,"Yes","No"))</f>
        <v>Yes</v>
      </c>
      <c r="E90" t="str" s="51">
        <f>IF(MAX('Term Sheet'!$C$7,EDATE(E55,-12))&gt;='Term Sheet'!$C$57,"Expired",IF(E65&lt;='Term Sheet'!$C$59,"Yes","No"))</f>
        <v>Yes</v>
      </c>
      <c r="F90" t="str" s="51">
        <f>IF(MAX('Term Sheet'!$C$7,EDATE(F55,-12))&gt;='Term Sheet'!$C$57,"Expired",IF(F65&lt;='Term Sheet'!$C$59,"Yes","No"))</f>
        <v>Yes</v>
      </c>
      <c r="G90" t="str" s="51">
        <f>IF(MAX('Term Sheet'!$C$7,EDATE(G55,-12))&gt;='Term Sheet'!$C$57,"Expired",IF(G65&lt;='Term Sheet'!$C$59,"Yes","No"))</f>
        <v>Expired</v>
      </c>
      <c r="H90" t="str" s="51">
        <f>IF(MAX('Term Sheet'!$C$7,EDATE(H55,-12))&gt;='Term Sheet'!$C$57,"Expired",IF(H65&lt;='Term Sheet'!$C$59,"Yes","No"))</f>
        <v>Expired</v>
      </c>
      <c r="I90" t="str" s="51">
        <f>IF(MAX('Term Sheet'!$C$7,EDATE(I55,-12))&gt;='Term Sheet'!$C$57,"Expired",IF(I65&lt;='Term Sheet'!$C$59,"Yes","No"))</f>
        <v>Expired</v>
      </c>
    </row>
    <row r="91">
      <c r="B91" t="s" s="9">
        <v>330</v>
      </c>
      <c r="C91" s="22">
        <f>'Term Sheet'!$C$87-C65</f>
        <v>-2.106787681120675</v>
      </c>
      <c r="D91" s="22">
        <f>'Term Sheet'!$C$87-D65</f>
        <v>-0.5836690846578634</v>
      </c>
      <c r="E91" s="22">
        <f>'Term Sheet'!$C$87-E65</f>
        <v>0.9291504780086921</v>
      </c>
      <c r="F91" s="22">
        <f>'Term Sheet'!$C$87-F65</f>
        <v>2.3642615328839796</v>
      </c>
      <c r="G91" s="22">
        <f>'Term Sheet'!$C$87-G65</f>
        <v>3.645129341973277</v>
      </c>
      <c r="H91" s="22">
        <f>'Term Sheet'!$C$87-H65</f>
        <v>4.770840239403245</v>
      </c>
      <c r="I91" s="22">
        <f>'Term Sheet'!$C$87-I65</f>
        <v>5.758968615307678</v>
      </c>
    </row>
    <row r="92">
      <c r="B92" t="s" s="81">
        <v>344</v>
      </c>
    </row>
    <row r="93">
      <c r="B93" t="s" s="9">
        <v>345</v>
      </c>
      <c r="C93" s="11">
        <f>'Debt Schedule'!K60-C60</f>
        <v>-75</v>
      </c>
      <c r="D93" s="11">
        <f>'Debt Schedule'!L60-D60</f>
        <v>-82.43774132691858</v>
      </c>
      <c r="E93" s="11">
        <f>'Debt Schedule'!M60-E60</f>
        <v>-75</v>
      </c>
      <c r="F93" s="11">
        <f>'Debt Schedule'!N60-F60</f>
        <v>-75</v>
      </c>
      <c r="G93" s="11">
        <f>'Debt Schedule'!O60-G60</f>
        <v>-75</v>
      </c>
      <c r="H93" s="11">
        <f>'Debt Schedule'!P60-H60</f>
        <v>-75</v>
      </c>
      <c r="I93" s="11">
        <f>'Debt Schedule'!Q60-I60</f>
        <v>-75</v>
      </c>
    </row>
    <row r="94">
      <c r="B94" t="s" s="9">
        <v>346</v>
      </c>
      <c r="C94" s="15">
        <f>'Term Sheet'!$C$80</f>
        <v>260</v>
      </c>
      <c r="D94" s="15">
        <f>'Term Sheet'!$C$80</f>
        <v>260</v>
      </c>
      <c r="E94" s="15">
        <f>'Term Sheet'!$C$80</f>
        <v>260</v>
      </c>
      <c r="F94" s="15">
        <f>'Term Sheet'!$C$80</f>
        <v>260</v>
      </c>
      <c r="G94" s="15">
        <f>'Term Sheet'!$C$80</f>
        <v>260</v>
      </c>
      <c r="H94" s="15">
        <f>'Term Sheet'!$C$80</f>
        <v>260</v>
      </c>
      <c r="I94" s="15">
        <f>'Term Sheet'!$C$80</f>
        <v>260</v>
      </c>
    </row>
    <row r="95">
      <c r="B95" t="s" s="9">
        <v>347</v>
      </c>
      <c r="C95" s="51"/>
      <c r="D95" t="str" s="51">
        <f>IF(AND(D55&gt;='Term Sheet'!$C$81,D93&gt;D94),"Tested","Not tested")</f>
        <v>Not tested</v>
      </c>
      <c r="E95" t="str" s="51">
        <f>IF(AND(E55&gt;='Term Sheet'!$C$81,E93&gt;E94),"Tested","Not tested")</f>
        <v>Not tested</v>
      </c>
      <c r="F95" t="str" s="51">
        <f>IF(AND(F55&gt;='Term Sheet'!$C$81,F93&gt;F94),"Tested","Not tested")</f>
        <v>Not tested</v>
      </c>
      <c r="G95" t="str" s="51">
        <f>IF(AND(G55&gt;='Term Sheet'!$C$81,G93&gt;G94),"Tested","Not tested")</f>
        <v>Not tested</v>
      </c>
      <c r="H95" t="str" s="51">
        <f>IF(AND(H55&gt;='Term Sheet'!$C$81,H93&gt;H94),"Tested","Not tested")</f>
        <v>Not tested</v>
      </c>
      <c r="I95" t="str" s="51">
        <f>IF(AND(I55&gt;='Term Sheet'!$C$81,I93&gt;I94),"Tested","Not tested")</f>
        <v>Not tested</v>
      </c>
    </row>
    <row r="96">
      <c r="B96" t="s" s="9">
        <v>348</v>
      </c>
      <c r="C96" s="11">
        <f>C94-C93</f>
        <v>335</v>
      </c>
      <c r="D96" s="11">
        <f>D94-D93</f>
        <v>342.43774132691857</v>
      </c>
      <c r="E96" s="11">
        <f>E94-E93</f>
        <v>335</v>
      </c>
      <c r="F96" s="11">
        <f>F94-F93</f>
        <v>335</v>
      </c>
      <c r="G96" s="11">
        <f>G94-G93</f>
        <v>335</v>
      </c>
      <c r="H96" s="11">
        <f>H94-H93</f>
        <v>335</v>
      </c>
      <c r="I96" s="11">
        <f>I94-I93</f>
        <v>335</v>
      </c>
    </row>
    <row r="97">
      <c r="B97" t="s" s="9">
        <v>349</v>
      </c>
      <c r="C97" s="15">
        <f>'Debt Schedule'!K61</f>
        <v>325</v>
      </c>
      <c r="D97" s="15">
        <f>'Debt Schedule'!L61</f>
        <v>325</v>
      </c>
      <c r="E97" s="15">
        <f>'Debt Schedule'!M61</f>
        <v>325</v>
      </c>
      <c r="F97" s="15">
        <f>'Debt Schedule'!N61</f>
        <v>325</v>
      </c>
      <c r="G97" s="15">
        <f>'Debt Schedule'!O61</f>
        <v>325</v>
      </c>
      <c r="H97" s="15">
        <f>'Debt Schedule'!P61</f>
        <v>325</v>
      </c>
      <c r="I97" s="15">
        <f>'Debt Schedule'!Q61</f>
        <v>325</v>
      </c>
    </row>
    <row r="98">
      <c r="B98" t="s" s="9">
        <v>67</v>
      </c>
      <c r="C98" s="55">
        <f>'Term Sheet'!$C$77</f>
        <v>15</v>
      </c>
      <c r="D98" s="55">
        <f>'Term Sheet'!$C$77</f>
        <v>15</v>
      </c>
      <c r="E98" s="55">
        <f>'Term Sheet'!$C$77</f>
        <v>15</v>
      </c>
      <c r="F98" s="55">
        <f>'Term Sheet'!$C$77</f>
        <v>15</v>
      </c>
      <c r="G98" s="55">
        <f>'Term Sheet'!$C$77</f>
        <v>15</v>
      </c>
      <c r="H98" s="55">
        <f>'Term Sheet'!$C$77</f>
        <v>15</v>
      </c>
      <c r="I98" s="55">
        <f>'Term Sheet'!$C$77</f>
        <v>15</v>
      </c>
    </row>
    <row r="99">
      <c r="B99" t="s" s="9">
        <v>351</v>
      </c>
      <c r="C99" s="22">
        <f>C98-C65</f>
        <v>5.643212318879325</v>
      </c>
      <c r="D99" s="22">
        <f>D98-D65</f>
        <v>7.166330915342137</v>
      </c>
      <c r="E99" s="22">
        <f>E98-E65</f>
        <v>8.679150478008692</v>
      </c>
      <c r="F99" s="22">
        <f>F98-F65</f>
        <v>10.11426153288398</v>
      </c>
      <c r="G99" s="22">
        <f>G98-G65</f>
        <v>11.395129341973277</v>
      </c>
      <c r="H99" s="22">
        <f>H98-H65</f>
        <v>12.520840239403245</v>
      </c>
      <c r="I99" s="22">
        <f>I98-I65</f>
        <v>13.508968615307678</v>
      </c>
    </row>
    <row r="100">
      <c r="B100" t="s" s="41">
        <v>352</v>
      </c>
      <c r="C100" s="53">
        <f>1-C65/C98</f>
        <v>0.37621415459195495</v>
      </c>
      <c r="D100" s="53">
        <f>1-D65/D98</f>
        <v>0.47775539435614245</v>
      </c>
      <c r="E100" s="53">
        <f>1-E65/E98</f>
        <v>0.5786100318672461</v>
      </c>
      <c r="F100" s="53">
        <f>1-F65/F98</f>
        <v>0.6742841021922653</v>
      </c>
      <c r="G100" s="53">
        <f>1-G65/G98</f>
        <v>0.7596752894648852</v>
      </c>
      <c r="H100" s="53">
        <f>1-H65/H98</f>
        <v>0.834722682626883</v>
      </c>
      <c r="I100" s="53">
        <f>1-I65/I98</f>
        <v>0.9005979076871785</v>
      </c>
    </row>
    <row r="101">
      <c r="B101" t="s" s="9">
        <v>353</v>
      </c>
      <c r="C101" s="11">
        <f>C57-C61/C98</f>
        <v>105.54500000000002</v>
      </c>
      <c r="D101" s="11">
        <f>D57-D61/D98</f>
        <v>161.78393486808025</v>
      </c>
      <c r="E101" s="11">
        <f>E57-E61/E98</f>
        <v>242.31223044771775</v>
      </c>
      <c r="F101" s="11">
        <f>F57-F61/F98</f>
        <v>349.93370452139055</v>
      </c>
      <c r="G101" s="11">
        <f>G57-G61/G98</f>
        <v>482.53670269149944</v>
      </c>
      <c r="H101" s="11">
        <f>H57-H61/H98</f>
        <v>638.0869276396037</v>
      </c>
      <c r="I101" s="11">
        <f>I57-I61/I98</f>
        <v>807.5846299550758</v>
      </c>
    </row>
    <row r="103">
      <c r="B103" t="s" s="34">
        <v>456</v>
      </c>
      <c r="C103" s="34"/>
      <c r="D103" s="34"/>
      <c r="E103" s="34"/>
      <c r="F103" s="34"/>
      <c r="G103" s="34"/>
      <c r="H103" s="34"/>
      <c r="I103" s="34"/>
    </row>
    <row r="104">
      <c r="B104" t="s" s="4">
        <v>215</v>
      </c>
      <c r="C104" s="38">
        <f>'Debt Schedule'!S$6</f>
        <v>46198</v>
      </c>
      <c r="D104" s="39">
        <f>'Debt Schedule'!T$6</f>
        <v>46387</v>
      </c>
      <c r="E104" s="39">
        <f>'Debt Schedule'!U$6</f>
        <v>46752</v>
      </c>
      <c r="F104" s="39">
        <f>'Debt Schedule'!V$6</f>
        <v>47118</v>
      </c>
      <c r="G104" s="39">
        <f>'Debt Schedule'!W$6</f>
        <v>47483</v>
      </c>
      <c r="H104" s="39">
        <f>'Debt Schedule'!X$6</f>
        <v>47848</v>
      </c>
      <c r="I104" s="39">
        <f>'Debt Schedule'!Y$6</f>
        <v>48213</v>
      </c>
    </row>
    <row r="105">
      <c r="B105" t="s" s="81">
        <v>321</v>
      </c>
    </row>
    <row r="106">
      <c r="B106" t="s" s="9">
        <v>322</v>
      </c>
      <c r="C106" s="15">
        <f>'Term Sheet'!$C$12</f>
        <v>280.545</v>
      </c>
      <c r="D106" s="15">
        <f>'Debt Schedule'!T22</f>
        <v>313.15794103212414</v>
      </c>
      <c r="E106" s="15">
        <f>'Debt Schedule'!U22</f>
        <v>360.8368450098976</v>
      </c>
      <c r="F106" s="15">
        <f>'Debt Schedule'!V22</f>
        <v>402.61356717944</v>
      </c>
      <c r="G106" s="15">
        <f>'Debt Schedule'!W22</f>
        <v>444.9918984193532</v>
      </c>
      <c r="H106" s="15">
        <f>'Debt Schedule'!X22</f>
        <v>483.027685513492</v>
      </c>
      <c r="I106" s="15">
        <f>'Debt Schedule'!Y22</f>
        <v>521.258938912441</v>
      </c>
    </row>
    <row r="107">
      <c r="B107" t="s" s="9">
        <v>323</v>
      </c>
      <c r="C107" s="11"/>
      <c r="D107" s="11">
        <f>'Debt Schedule'!T11*'Debt Schedule'!T7+'Debt Schedule'!T20</f>
        <v>162.15575576731908</v>
      </c>
      <c r="E107" s="11">
        <f>'Debt Schedule'!U11*'Debt Schedule'!U7+'Debt Schedule'!U20</f>
        <v>360.8368450098976</v>
      </c>
      <c r="F107" s="11">
        <f>'Debt Schedule'!V11*'Debt Schedule'!V7+'Debt Schedule'!V20</f>
        <v>402.61356717944</v>
      </c>
      <c r="G107" s="11">
        <f>'Debt Schedule'!W11*'Debt Schedule'!W7+'Debt Schedule'!W20</f>
        <v>444.9918984193532</v>
      </c>
      <c r="H107" s="11">
        <f>'Debt Schedule'!X11*'Debt Schedule'!X7+'Debt Schedule'!X20</f>
        <v>483.027685513492</v>
      </c>
      <c r="I107" s="11">
        <f>'Debt Schedule'!Y11*'Debt Schedule'!Y7+'Debt Schedule'!Y20</f>
        <v>521.258938912441</v>
      </c>
    </row>
    <row r="108">
      <c r="B108" t="s" s="9">
        <v>324</v>
      </c>
      <c r="C108" s="15">
        <f>'Debt Schedule'!S116</f>
        <v>2700</v>
      </c>
      <c r="D108" s="15">
        <f>'Debt Schedule'!T116</f>
        <v>2742.1576046977593</v>
      </c>
      <c r="E108" s="15">
        <f>'Debt Schedule'!U116</f>
        <v>2805.6897984413745</v>
      </c>
      <c r="F108" s="15">
        <f>'Debt Schedule'!V116</f>
        <v>2844.311276689116</v>
      </c>
      <c r="G108" s="15">
        <f>'Debt Schedule'!W116</f>
        <v>2834.4680812631236</v>
      </c>
      <c r="H108" s="15">
        <f>'Debt Schedule'!X116</f>
        <v>2793.8508749997773</v>
      </c>
      <c r="I108" s="15">
        <f>'Debt Schedule'!Y116</f>
        <v>2721.140586481432</v>
      </c>
    </row>
    <row r="109">
      <c r="B109" t="s" s="9">
        <v>289</v>
      </c>
      <c r="C109" s="15">
        <f>'Debt Schedule'!S110</f>
        <v>75</v>
      </c>
      <c r="D109" s="15">
        <f>'Debt Schedule'!T110</f>
        <v>75</v>
      </c>
      <c r="E109" s="15">
        <f>'Debt Schedule'!U110</f>
        <v>75</v>
      </c>
      <c r="F109" s="15">
        <f>'Debt Schedule'!V110</f>
        <v>75</v>
      </c>
      <c r="G109" s="15">
        <f>'Debt Schedule'!W110</f>
        <v>75</v>
      </c>
      <c r="H109" s="15">
        <f>'Debt Schedule'!X110</f>
        <v>75</v>
      </c>
      <c r="I109" s="15">
        <f>'Debt Schedule'!Y110</f>
        <v>75</v>
      </c>
    </row>
    <row r="110">
      <c r="B110" t="s" s="41">
        <v>297</v>
      </c>
      <c r="C110" s="49">
        <f>C108-C109</f>
        <v>2625</v>
      </c>
      <c r="D110" s="49">
        <f>D108-D109</f>
        <v>2667.1576046977593</v>
      </c>
      <c r="E110" s="49">
        <f>E108-E109</f>
        <v>2730.6897984413745</v>
      </c>
      <c r="F110" s="49">
        <f>F108-F109</f>
        <v>2769.311276689116</v>
      </c>
      <c r="G110" s="49">
        <f>G108-G109</f>
        <v>2759.4680812631236</v>
      </c>
      <c r="H110" s="49">
        <f>H108-H109</f>
        <v>2718.8508749997773</v>
      </c>
      <c r="I110" s="49">
        <f>I108-I109</f>
        <v>2646.140586481432</v>
      </c>
    </row>
    <row r="111">
      <c r="B111" t="s" s="81">
        <v>325</v>
      </c>
    </row>
    <row r="112">
      <c r="B112" t="s" s="9">
        <v>326</v>
      </c>
      <c r="C112" s="22">
        <f>C108/C106</f>
        <v>9.624124472009838</v>
      </c>
      <c r="D112" s="22">
        <f>D108/D106</f>
        <v>8.756468367559185</v>
      </c>
      <c r="E112" s="22">
        <f>E108/E106</f>
        <v>7.775508064772087</v>
      </c>
      <c r="F112" s="22">
        <f>F108/F106</f>
        <v>7.064618553754401</v>
      </c>
      <c r="G112" s="22">
        <f>G108/G106</f>
        <v>6.369707159459264</v>
      </c>
      <c r="H112" s="22">
        <f>H108/H106</f>
        <v>5.784038801067313</v>
      </c>
      <c r="I112" s="22">
        <f>I108/I106</f>
        <v>5.220324071868854</v>
      </c>
    </row>
    <row r="113">
      <c r="B113" t="s" s="9">
        <v>327</v>
      </c>
      <c r="C113" s="22">
        <f>C110/C106</f>
        <v>9.356787681120675</v>
      </c>
      <c r="D113" s="22">
        <f>D110/D106</f>
        <v>8.516972604645394</v>
      </c>
      <c r="E113" s="22">
        <f>E110/E106</f>
        <v>7.567657893601394</v>
      </c>
      <c r="F113" s="22">
        <f>F110/F106</f>
        <v>6.878335710567019</v>
      </c>
      <c r="G113" s="22">
        <f>G110/G106</f>
        <v>6.2011647651675785</v>
      </c>
      <c r="H113" s="22">
        <f>H110/H106</f>
        <v>5.628768198057736</v>
      </c>
      <c r="I113" s="22">
        <f>I110/I106</f>
        <v>5.076441647221172</v>
      </c>
    </row>
    <row r="114">
      <c r="B114" t="s" s="41">
        <v>328</v>
      </c>
      <c r="C114" s="54">
        <f>'Debt Schedule'!S120</f>
        <v>9.356787681120675</v>
      </c>
      <c r="D114" s="54">
        <f>'Debt Schedule'!T120</f>
        <v>8.516972604645394</v>
      </c>
      <c r="E114" s="54">
        <f>'Debt Schedule'!U120</f>
        <v>7.567657893601394</v>
      </c>
      <c r="F114" s="54">
        <f>'Debt Schedule'!V120</f>
        <v>6.878335710567019</v>
      </c>
      <c r="G114" s="54">
        <f>'Debt Schedule'!W120</f>
        <v>6.2011647651675785</v>
      </c>
      <c r="H114" s="54">
        <f>'Debt Schedule'!X120</f>
        <v>5.628768198057736</v>
      </c>
      <c r="I114" s="54">
        <f>'Debt Schedule'!Y120</f>
        <v>5.076441647221172</v>
      </c>
    </row>
    <row r="115">
      <c r="B115" t="s" s="81">
        <v>333</v>
      </c>
    </row>
    <row r="116">
      <c r="B116" t="s" s="9">
        <v>334</v>
      </c>
      <c r="C116" s="11"/>
      <c r="D116" s="15">
        <f>'Debt Schedule'!T101</f>
        <v>87.19409245132466</v>
      </c>
      <c r="E116" s="15">
        <f>'Debt Schedule'!U101</f>
        <v>192.88109433383465</v>
      </c>
      <c r="F116" s="15">
        <f>'Debt Schedule'!V101</f>
        <v>232.85546312969106</v>
      </c>
      <c r="G116" s="15">
        <f>'Debt Schedule'!W101</f>
        <v>248.89794530752764</v>
      </c>
      <c r="H116" s="15">
        <f>'Debt Schedule'!X101</f>
        <v>244.72136665140457</v>
      </c>
      <c r="I116" s="15">
        <f>'Debt Schedule'!Y101</f>
        <v>239.55171360628398</v>
      </c>
    </row>
    <row r="117">
      <c r="B117" t="s" s="9">
        <v>285</v>
      </c>
      <c r="C117" s="11"/>
      <c r="D117" s="15">
        <f>'Debt Schedule'!T102</f>
        <v>35.17975940160628</v>
      </c>
      <c r="E117" s="15">
        <f>'Debt Schedule'!U102</f>
        <v>69.24505720004066</v>
      </c>
      <c r="F117" s="15">
        <f>'Debt Schedule'!V102</f>
        <v>34.11216661777078</v>
      </c>
      <c r="G117" s="15">
        <f>'Debt Schedule'!W102</f>
        <v>0</v>
      </c>
      <c r="H117" s="15">
        <f>'Debt Schedule'!X102</f>
        <v>0</v>
      </c>
      <c r="I117" s="15">
        <f>'Debt Schedule'!Y102</f>
        <v>0</v>
      </c>
    </row>
    <row r="118">
      <c r="B118" t="s" s="41">
        <v>335</v>
      </c>
      <c r="C118" s="50"/>
      <c r="D118" s="50">
        <f>D107/D116</f>
        <v>1.8597103451457002</v>
      </c>
      <c r="E118" s="50">
        <f>E107/E116</f>
        <v>1.8707735263331127</v>
      </c>
      <c r="F118" s="50">
        <f>F107/F116</f>
        <v>1.729027791609942</v>
      </c>
      <c r="G118" s="50">
        <f>G107/G116</f>
        <v>1.7878488224141036</v>
      </c>
      <c r="H118" s="50">
        <f>H107/H116</f>
        <v>1.9737863192041782</v>
      </c>
      <c r="I118" s="50">
        <f>I107/I116</f>
        <v>2.175976665185363</v>
      </c>
    </row>
    <row r="119">
      <c r="B119" t="s" s="9">
        <v>336</v>
      </c>
      <c r="C119" s="22"/>
      <c r="D119" s="22">
        <f>D107/(D116+D117)</f>
        <v>1.3250850023271152</v>
      </c>
      <c r="E119" s="22">
        <f>E107/(E116+E117)</f>
        <v>1.376577052302489</v>
      </c>
      <c r="F119" s="22">
        <f>F107/(F116+F117)</f>
        <v>1.5080988191725435</v>
      </c>
      <c r="G119" s="22">
        <f>G107/(G116+G117)</f>
        <v>1.7878488224141036</v>
      </c>
      <c r="H119" s="22">
        <f>H107/(H116+H117)</f>
        <v>1.9737863192041782</v>
      </c>
      <c r="I119" s="22">
        <f>I107/(I116+I117)</f>
        <v>2.175976665185363</v>
      </c>
    </row>
    <row r="120">
      <c r="B120" t="s" s="9">
        <v>337</v>
      </c>
      <c r="C120" s="11"/>
      <c r="D120" s="15">
        <f>'Debt Schedule'!T17</f>
        <v>-7.9163269913172005</v>
      </c>
      <c r="E120" s="15">
        <f>'Debt Schedule'!U17</f>
        <v>-16.911649597971397</v>
      </c>
      <c r="F120" s="15">
        <f>'Debt Schedule'!V17</f>
        <v>-18.5384439953259</v>
      </c>
      <c r="G120" s="15">
        <f>'Debt Schedule'!W17</f>
        <v>-20.136341348940785</v>
      </c>
      <c r="H120" s="15">
        <f>'Debt Schedule'!X17</f>
        <v>-21.67060399776119</v>
      </c>
      <c r="I120" s="15">
        <f>'Debt Schedule'!Y17</f>
        <v>-23.187546277604476</v>
      </c>
    </row>
    <row r="121">
      <c r="B121" t="s" s="9">
        <v>338</v>
      </c>
      <c r="C121" s="11"/>
      <c r="D121" s="15">
        <f>'Debt Schedule'!T18</f>
        <v>-2.970944133675559</v>
      </c>
      <c r="E121" s="15">
        <f>'Debt Schedule'!U18</f>
        <v>-7.327011804282705</v>
      </c>
      <c r="F121" s="15">
        <f>'Debt Schedule'!V18</f>
        <v>-8.427304733265345</v>
      </c>
      <c r="G121" s="15">
        <f>'Debt Schedule'!W18</f>
        <v>-9.556037907464429</v>
      </c>
      <c r="H121" s="15">
        <f>'Debt Schedule'!X18</f>
        <v>-10.545004027590323</v>
      </c>
      <c r="I121" s="15">
        <f>'Debt Schedule'!Y18</f>
        <v>-11.543883011821492</v>
      </c>
    </row>
    <row r="122">
      <c r="B122" t="s" s="9">
        <v>339</v>
      </c>
      <c r="C122" s="11"/>
      <c r="D122" s="11">
        <f>-'Debt Schedule'!T41</f>
        <v>0</v>
      </c>
      <c r="E122" s="11">
        <f>-'Debt Schedule'!U41</f>
        <v>0</v>
      </c>
      <c r="F122" s="11">
        <f>-'Debt Schedule'!V41</f>
        <v>0</v>
      </c>
      <c r="G122" s="11">
        <f>-'Debt Schedule'!W41</f>
        <v>0</v>
      </c>
      <c r="H122" s="11">
        <f>-'Debt Schedule'!X41</f>
        <v>0</v>
      </c>
      <c r="I122" s="11">
        <f>-'Debt Schedule'!Y41</f>
        <v>0</v>
      </c>
    </row>
    <row r="123">
      <c r="B123" t="s" s="41">
        <v>340</v>
      </c>
      <c r="C123" s="50"/>
      <c r="D123" s="50">
        <f>(D107+D120+D121)/(D116+D122)</f>
        <v>1.7348478594094046</v>
      </c>
      <c r="E123" s="50">
        <f>(E107+E120+E121)/(E116+E122)</f>
        <v>1.7451071851814892</v>
      </c>
      <c r="F123" s="50">
        <f>(F107+F120+F121)/(F116+F122)</f>
        <v>1.613223127351013</v>
      </c>
      <c r="G123" s="50">
        <f>(G107+G120+G121)/(G116+G122)</f>
        <v>1.6685534251792304</v>
      </c>
      <c r="H123" s="50">
        <f>(H107+H120+H121)/(H116+H122)</f>
        <v>1.8421443278808733</v>
      </c>
      <c r="I123" s="50">
        <f>(I107+I120+I121)/(I116+I122)</f>
        <v>2.030991564613263</v>
      </c>
    </row>
    <row r="124">
      <c r="B124" t="s" s="9">
        <v>341</v>
      </c>
      <c r="C124" s="25"/>
      <c r="D124" s="25">
        <f>('Debt Schedule'!T46-('Debt Schedule'!T108-'Term Sheet'!$C$10))/D108</f>
        <v>-0.0025446550862718823</v>
      </c>
      <c r="E124" s="25">
        <f>('Debt Schedule'!U46-('Debt Schedule'!U108-'Term Sheet'!$C$10))/E108</f>
        <v>0.0020361707340559136</v>
      </c>
      <c r="F124" s="25">
        <f>('Debt Schedule'!V46-('Debt Schedule'!V108-'Term Sheet'!$C$10))/F108</f>
        <v>-0.001585379092269896</v>
      </c>
      <c r="G124" s="25">
        <f>('Debt Schedule'!W46-('Debt Schedule'!W108-'Term Sheet'!$C$10))/G108</f>
        <v>0.003472678168810359</v>
      </c>
      <c r="H124" s="25">
        <f>('Debt Schedule'!X46-('Debt Schedule'!X108-'Term Sheet'!$C$10))/H108</f>
        <v>0.014538072388473428</v>
      </c>
      <c r="I124" s="25">
        <f>('Debt Schedule'!Y46-('Debt Schedule'!Y108-'Term Sheet'!$C$10))/I108</f>
        <v>0.026720518917534918</v>
      </c>
    </row>
    <row r="125">
      <c r="B125" t="s" s="9">
        <v>342</v>
      </c>
      <c r="C125" s="25"/>
      <c r="D125" s="25">
        <f>1-D108/$C108</f>
        <v>-0.015613927665836691</v>
      </c>
      <c r="E125" s="25">
        <f>1-E108/$C108</f>
        <v>-0.03914436979310176</v>
      </c>
      <c r="F125" s="25">
        <f>1-F108/$C108</f>
        <v>-0.05344862099596881</v>
      </c>
      <c r="G125" s="25">
        <f>1-G108/$C108</f>
        <v>-0.049802993060416245</v>
      </c>
      <c r="H125" s="25">
        <f>1-H108/$C108</f>
        <v>-0.0347595833332508</v>
      </c>
      <c r="I125" s="25">
        <f>1-I108/$C108</f>
        <v>-0.007829846844974675</v>
      </c>
    </row>
    <row r="126">
      <c r="B126" t="s" s="81">
        <v>457</v>
      </c>
    </row>
    <row r="127">
      <c r="B127" t="s" s="9">
        <v>458</v>
      </c>
      <c r="C127" s="11"/>
      <c r="D127" s="15">
        <f>'Debt Schedule'!T59</f>
        <v>6.977845296153275</v>
      </c>
      <c r="E127" s="15">
        <f>'Debt Schedule'!U59</f>
        <v>-5.712863456425562</v>
      </c>
      <c r="F127" s="15">
        <f>'Debt Schedule'!V59</f>
        <v>4.509311629970419</v>
      </c>
      <c r="G127" s="15">
        <f>'Debt Schedule'!W59</f>
        <v>-5.774293469698132</v>
      </c>
      <c r="H127" s="15">
        <f>'Debt Schedule'!X59</f>
        <v>0</v>
      </c>
      <c r="I127" s="15">
        <f>'Debt Schedule'!Y59</f>
        <v>0</v>
      </c>
    </row>
    <row r="128">
      <c r="B128" t="s" s="9">
        <v>459</v>
      </c>
      <c r="C128" s="15">
        <f>'Debt Schedule'!S60</f>
        <v>0</v>
      </c>
      <c r="D128" s="15">
        <f>'Debt Schedule'!T60</f>
        <v>6.977845296153275</v>
      </c>
      <c r="E128" s="15">
        <f>'Debt Schedule'!U60</f>
        <v>1.2649818397277128</v>
      </c>
      <c r="F128" s="15">
        <f>'Debt Schedule'!V60</f>
        <v>5.774293469698132</v>
      </c>
      <c r="G128" s="15">
        <f>'Debt Schedule'!W60</f>
        <v>0</v>
      </c>
      <c r="H128" s="15">
        <f>'Debt Schedule'!X60</f>
        <v>0</v>
      </c>
      <c r="I128" s="15">
        <f>'Debt Schedule'!Y60</f>
        <v>0</v>
      </c>
    </row>
    <row r="129">
      <c r="B129" t="s" s="9">
        <v>460</v>
      </c>
      <c r="C129" s="11"/>
      <c r="D129" s="11">
        <f>MAX($D128:D128)</f>
        <v>6.977845296153275</v>
      </c>
      <c r="E129" s="11">
        <f>MAX($D128:E128)</f>
        <v>6.977845296153275</v>
      </c>
      <c r="F129" s="11">
        <f>MAX($D128:F128)</f>
        <v>6.977845296153275</v>
      </c>
      <c r="G129" s="11">
        <f>MAX($D128:G128)</f>
        <v>6.977845296153275</v>
      </c>
      <c r="H129" s="11">
        <f>MAX($D128:H128)</f>
        <v>6.977845296153275</v>
      </c>
      <c r="I129" s="11">
        <f>MAX($D128:I128)</f>
        <v>6.977845296153275</v>
      </c>
    </row>
    <row r="130">
      <c r="B130" t="s" s="9">
        <v>461</v>
      </c>
      <c r="C130" s="11">
        <f>C109-'Term Sheet'!$C$10</f>
        <v>0</v>
      </c>
      <c r="D130" s="11">
        <f>D109-'Term Sheet'!$C$10</f>
        <v>0</v>
      </c>
      <c r="E130" s="11">
        <f>E109-'Term Sheet'!$C$10</f>
        <v>0</v>
      </c>
      <c r="F130" s="11">
        <f>F109-'Term Sheet'!$C$10</f>
        <v>0</v>
      </c>
      <c r="G130" s="11">
        <f>G109-'Term Sheet'!$C$10</f>
        <v>0</v>
      </c>
      <c r="H130" s="11">
        <f>H109-'Term Sheet'!$C$10</f>
        <v>0</v>
      </c>
      <c r="I130" s="11">
        <f>I109-'Term Sheet'!$C$10</f>
        <v>0</v>
      </c>
    </row>
    <row r="131">
      <c r="B131" t="s" s="41">
        <v>343</v>
      </c>
      <c r="C131" s="49">
        <f>C109+'Debt Schedule'!S61</f>
        <v>400</v>
      </c>
      <c r="D131" s="49">
        <f>D109+'Debt Schedule'!T61</f>
        <v>393.02215470384675</v>
      </c>
      <c r="E131" s="49">
        <f>E109+'Debt Schedule'!U61</f>
        <v>398.73501816027226</v>
      </c>
      <c r="F131" s="49">
        <f>F109+'Debt Schedule'!V61</f>
        <v>394.22570653030186</v>
      </c>
      <c r="G131" s="49">
        <f>G109+'Debt Schedule'!W61</f>
        <v>400</v>
      </c>
      <c r="H131" s="49">
        <f>H109+'Debt Schedule'!X61</f>
        <v>400</v>
      </c>
      <c r="I131" s="49">
        <f>I109+'Debt Schedule'!Y61</f>
        <v>400</v>
      </c>
    </row>
    <row r="132">
      <c r="B132" t="s" s="81">
        <v>462</v>
      </c>
    </row>
    <row r="133">
      <c r="B133" t="s" s="9">
        <v>329</v>
      </c>
      <c r="C133" s="22">
        <f>'Term Sheet'!$C$21-C114</f>
        <v>-1.8567876811206752</v>
      </c>
      <c r="D133" s="22">
        <f>'Term Sheet'!$C$21-D114</f>
        <v>-1.0169726046453942</v>
      </c>
      <c r="E133" s="22">
        <f>'Term Sheet'!$C$21-E114</f>
        <v>-0.06765789360139429</v>
      </c>
      <c r="F133" s="22">
        <f>'Term Sheet'!$C$21-F114</f>
        <v>0.6216642894329807</v>
      </c>
      <c r="G133" s="22">
        <f>'Term Sheet'!$C$21-G114</f>
        <v>1.2988352348324215</v>
      </c>
      <c r="H133" s="22">
        <f>'Term Sheet'!$C$21-H114</f>
        <v>1.8712318019422636</v>
      </c>
      <c r="I133" s="22">
        <f>'Term Sheet'!$C$21-I114</f>
        <v>2.4235583527788283</v>
      </c>
    </row>
    <row r="134">
      <c r="B134" t="s" s="9">
        <v>463</v>
      </c>
      <c r="C134" s="51"/>
      <c r="D134" t="str" s="51">
        <f>IF(D114&lt;='Term Sheet'!$C$21,"Yes","No")</f>
        <v>No</v>
      </c>
      <c r="E134" t="str" s="51">
        <f>IF(E114&lt;='Term Sheet'!$C$21,"Yes","No")</f>
        <v>No</v>
      </c>
      <c r="F134" t="str" s="51">
        <f>IF(F114&lt;='Term Sheet'!$C$21,"Yes","No")</f>
        <v>Yes</v>
      </c>
      <c r="G134" t="str" s="51">
        <f>IF(G114&lt;='Term Sheet'!$C$21,"Yes","No")</f>
        <v>Yes</v>
      </c>
      <c r="H134" t="str" s="51">
        <f>IF(H114&lt;='Term Sheet'!$C$21,"Yes","No")</f>
        <v>Yes</v>
      </c>
      <c r="I134" t="str" s="51">
        <f>IF(I114&lt;='Term Sheet'!$C$21,"Yes","No")</f>
        <v>Yes</v>
      </c>
    </row>
    <row r="135">
      <c r="B135" t="s" s="9">
        <v>464</v>
      </c>
      <c r="C135" s="25"/>
      <c r="D135" s="29">
        <f>'Debt Schedule'!T49</f>
        <v>0</v>
      </c>
      <c r="E135" s="29">
        <f>'Debt Schedule'!U49</f>
        <v>0.5</v>
      </c>
      <c r="F135" s="29">
        <f>'Debt Schedule'!V49</f>
        <v>0.25</v>
      </c>
      <c r="G135" s="29">
        <f>'Debt Schedule'!W49</f>
        <v>0</v>
      </c>
      <c r="H135" s="29">
        <f>'Debt Schedule'!X49</f>
        <v>0</v>
      </c>
      <c r="I135" s="29">
        <f>'Debt Schedule'!Y49</f>
        <v>0</v>
      </c>
    </row>
    <row r="136">
      <c r="B136" t="s" s="9">
        <v>465</v>
      </c>
      <c r="C136" s="11"/>
      <c r="D136" s="11">
        <f>-'Debt Schedule'!T52</f>
        <v>0</v>
      </c>
      <c r="E136" s="11">
        <f>-'Debt Schedule'!U52</f>
        <v>0</v>
      </c>
      <c r="F136" s="11">
        <f>-'Debt Schedule'!V52</f>
        <v>0</v>
      </c>
      <c r="G136" s="11">
        <f>-'Debt Schedule'!W52</f>
        <v>0</v>
      </c>
      <c r="H136" s="11">
        <f>-'Debt Schedule'!X52</f>
        <v>0</v>
      </c>
      <c r="I136" s="11">
        <f>-'Debt Schedule'!Y52</f>
        <v>0</v>
      </c>
    </row>
    <row r="137">
      <c r="B137" t="s" s="9">
        <v>466</v>
      </c>
      <c r="C137" s="51"/>
      <c r="D137" t="str" s="51">
        <f>IF(D114&lt;='Term Sheet'!$C$42,"Yes","No")</f>
        <v>No</v>
      </c>
      <c r="E137" t="str" s="51">
        <f>IF(E114&lt;='Term Sheet'!$C$42,"Yes","No")</f>
        <v>No</v>
      </c>
      <c r="F137" t="str" s="51">
        <f>IF(F114&lt;='Term Sheet'!$C$42,"Yes","No")</f>
        <v>Yes</v>
      </c>
      <c r="G137" t="str" s="51">
        <f>IF(G114&lt;='Term Sheet'!$C$42,"Yes","No")</f>
        <v>Yes</v>
      </c>
      <c r="H137" t="str" s="51">
        <f>IF(H114&lt;='Term Sheet'!$C$42,"Yes","No")</f>
        <v>Yes</v>
      </c>
      <c r="I137" t="str" s="51">
        <f>IF(I114&lt;='Term Sheet'!$C$42,"Yes","No")</f>
        <v>Yes</v>
      </c>
    </row>
    <row r="138">
      <c r="B138" t="s" s="9">
        <v>331</v>
      </c>
      <c r="C138" s="22">
        <f>'Term Sheet'!$C$59-C114</f>
        <v>-1.3567876811206752</v>
      </c>
      <c r="D138" s="22">
        <f>'Term Sheet'!$C$59-D114</f>
        <v>-0.5169726046453942</v>
      </c>
      <c r="E138" s="22">
        <f>'Term Sheet'!$C$59-E114</f>
        <v>0.4323421063986057</v>
      </c>
      <c r="F138" s="22">
        <f>'Term Sheet'!$C$59-F114</f>
        <v>1.1216642894329807</v>
      </c>
      <c r="G138" s="22">
        <f>'Term Sheet'!$C$59-G114</f>
        <v>1.7988352348324215</v>
      </c>
      <c r="H138" s="22">
        <f>'Term Sheet'!$C$59-H114</f>
        <v>2.3712318019422636</v>
      </c>
      <c r="I138" s="22">
        <f>'Term Sheet'!$C$59-I114</f>
        <v>2.9235583527788283</v>
      </c>
    </row>
    <row r="139">
      <c r="B139" t="s" s="9">
        <v>467</v>
      </c>
      <c r="C139" s="51"/>
      <c r="D139" t="str" s="51">
        <f>IF(MAX('Term Sheet'!$C$7,EDATE(D104,-12))&gt;='Term Sheet'!$C$57,"Expired",IF(D114&lt;='Term Sheet'!$C$59,"Yes","No"))</f>
        <v>No</v>
      </c>
      <c r="E139" t="str" s="51">
        <f>IF(MAX('Term Sheet'!$C$7,EDATE(E104,-12))&gt;='Term Sheet'!$C$57,"Expired",IF(E114&lt;='Term Sheet'!$C$59,"Yes","No"))</f>
        <v>Yes</v>
      </c>
      <c r="F139" t="str" s="51">
        <f>IF(MAX('Term Sheet'!$C$7,EDATE(F104,-12))&gt;='Term Sheet'!$C$57,"Expired",IF(F114&lt;='Term Sheet'!$C$59,"Yes","No"))</f>
        <v>Yes</v>
      </c>
      <c r="G139" t="str" s="51">
        <f>IF(MAX('Term Sheet'!$C$7,EDATE(G104,-12))&gt;='Term Sheet'!$C$57,"Expired",IF(G114&lt;='Term Sheet'!$C$59,"Yes","No"))</f>
        <v>Expired</v>
      </c>
      <c r="H139" t="str" s="51">
        <f>IF(MAX('Term Sheet'!$C$7,EDATE(H104,-12))&gt;='Term Sheet'!$C$57,"Expired",IF(H114&lt;='Term Sheet'!$C$59,"Yes","No"))</f>
        <v>Expired</v>
      </c>
      <c r="I139" t="str" s="51">
        <f>IF(MAX('Term Sheet'!$C$7,EDATE(I104,-12))&gt;='Term Sheet'!$C$57,"Expired",IF(I114&lt;='Term Sheet'!$C$59,"Yes","No"))</f>
        <v>Expired</v>
      </c>
    </row>
    <row r="140">
      <c r="B140" t="s" s="9">
        <v>330</v>
      </c>
      <c r="C140" s="22">
        <f>'Term Sheet'!$C$87-C114</f>
        <v>-2.106787681120675</v>
      </c>
      <c r="D140" s="22">
        <f>'Term Sheet'!$C$87-D114</f>
        <v>-1.2669726046453942</v>
      </c>
      <c r="E140" s="22">
        <f>'Term Sheet'!$C$87-E114</f>
        <v>-0.3176578936013943</v>
      </c>
      <c r="F140" s="22">
        <f>'Term Sheet'!$C$87-F114</f>
        <v>0.3716642894329807</v>
      </c>
      <c r="G140" s="22">
        <f>'Term Sheet'!$C$87-G114</f>
        <v>1.0488352348324215</v>
      </c>
      <c r="H140" s="22">
        <f>'Term Sheet'!$C$87-H114</f>
        <v>1.6212318019422636</v>
      </c>
      <c r="I140" s="22">
        <f>'Term Sheet'!$C$87-I114</f>
        <v>2.1735583527788283</v>
      </c>
    </row>
    <row r="141">
      <c r="B141" t="s" s="81">
        <v>344</v>
      </c>
    </row>
    <row r="142">
      <c r="B142" t="s" s="9">
        <v>345</v>
      </c>
      <c r="C142" s="11">
        <f>'Debt Schedule'!S60-C109</f>
        <v>-75</v>
      </c>
      <c r="D142" s="11">
        <f>'Debt Schedule'!T60-D109</f>
        <v>-68.02215470384672</v>
      </c>
      <c r="E142" s="11">
        <f>'Debt Schedule'!U60-E109</f>
        <v>-73.73501816027229</v>
      </c>
      <c r="F142" s="11">
        <f>'Debt Schedule'!V60-F109</f>
        <v>-69.22570653030186</v>
      </c>
      <c r="G142" s="11">
        <f>'Debt Schedule'!W60-G109</f>
        <v>-75</v>
      </c>
      <c r="H142" s="11">
        <f>'Debt Schedule'!X60-H109</f>
        <v>-75</v>
      </c>
      <c r="I142" s="11">
        <f>'Debt Schedule'!Y60-I109</f>
        <v>-75</v>
      </c>
    </row>
    <row r="143">
      <c r="B143" t="s" s="9">
        <v>346</v>
      </c>
      <c r="C143" s="15">
        <f>'Term Sheet'!$C$80</f>
        <v>260</v>
      </c>
      <c r="D143" s="15">
        <f>'Term Sheet'!$C$80</f>
        <v>260</v>
      </c>
      <c r="E143" s="15">
        <f>'Term Sheet'!$C$80</f>
        <v>260</v>
      </c>
      <c r="F143" s="15">
        <f>'Term Sheet'!$C$80</f>
        <v>260</v>
      </c>
      <c r="G143" s="15">
        <f>'Term Sheet'!$C$80</f>
        <v>260</v>
      </c>
      <c r="H143" s="15">
        <f>'Term Sheet'!$C$80</f>
        <v>260</v>
      </c>
      <c r="I143" s="15">
        <f>'Term Sheet'!$C$80</f>
        <v>260</v>
      </c>
    </row>
    <row r="144">
      <c r="B144" t="s" s="9">
        <v>347</v>
      </c>
      <c r="C144" s="51"/>
      <c r="D144" t="str" s="51">
        <f>IF(AND(D104&gt;='Term Sheet'!$C$81,D142&gt;D143),"Tested","Not tested")</f>
        <v>Not tested</v>
      </c>
      <c r="E144" t="str" s="51">
        <f>IF(AND(E104&gt;='Term Sheet'!$C$81,E142&gt;E143),"Tested","Not tested")</f>
        <v>Not tested</v>
      </c>
      <c r="F144" t="str" s="51">
        <f>IF(AND(F104&gt;='Term Sheet'!$C$81,F142&gt;F143),"Tested","Not tested")</f>
        <v>Not tested</v>
      </c>
      <c r="G144" t="str" s="51">
        <f>IF(AND(G104&gt;='Term Sheet'!$C$81,G142&gt;G143),"Tested","Not tested")</f>
        <v>Not tested</v>
      </c>
      <c r="H144" t="str" s="51">
        <f>IF(AND(H104&gt;='Term Sheet'!$C$81,H142&gt;H143),"Tested","Not tested")</f>
        <v>Not tested</v>
      </c>
      <c r="I144" t="str" s="51">
        <f>IF(AND(I104&gt;='Term Sheet'!$C$81,I142&gt;I143),"Tested","Not tested")</f>
        <v>Not tested</v>
      </c>
    </row>
    <row r="145">
      <c r="B145" t="s" s="9">
        <v>348</v>
      </c>
      <c r="C145" s="11">
        <f>C143-C142</f>
        <v>335</v>
      </c>
      <c r="D145" s="11">
        <f>D143-D142</f>
        <v>328.0221547038467</v>
      </c>
      <c r="E145" s="11">
        <f>E143-E142</f>
        <v>333.73501816027226</v>
      </c>
      <c r="F145" s="11">
        <f>F143-F142</f>
        <v>329.22570653030186</v>
      </c>
      <c r="G145" s="11">
        <f>G143-G142</f>
        <v>335</v>
      </c>
      <c r="H145" s="11">
        <f>H143-H142</f>
        <v>335</v>
      </c>
      <c r="I145" s="11">
        <f>I143-I142</f>
        <v>335</v>
      </c>
    </row>
    <row r="146">
      <c r="B146" t="s" s="9">
        <v>349</v>
      </c>
      <c r="C146" s="15">
        <f>'Debt Schedule'!S61</f>
        <v>325</v>
      </c>
      <c r="D146" s="15">
        <f>'Debt Schedule'!T61</f>
        <v>318.02215470384675</v>
      </c>
      <c r="E146" s="15">
        <f>'Debt Schedule'!U61</f>
        <v>323.73501816027226</v>
      </c>
      <c r="F146" s="15">
        <f>'Debt Schedule'!V61</f>
        <v>319.22570653030186</v>
      </c>
      <c r="G146" s="15">
        <f>'Debt Schedule'!W61</f>
        <v>325</v>
      </c>
      <c r="H146" s="15">
        <f>'Debt Schedule'!X61</f>
        <v>325</v>
      </c>
      <c r="I146" s="15">
        <f>'Debt Schedule'!Y61</f>
        <v>325</v>
      </c>
    </row>
    <row r="147">
      <c r="B147" t="s" s="9">
        <v>67</v>
      </c>
      <c r="C147" s="55">
        <f>'Term Sheet'!$C$77</f>
        <v>15</v>
      </c>
      <c r="D147" s="55">
        <f>'Term Sheet'!$C$77</f>
        <v>15</v>
      </c>
      <c r="E147" s="55">
        <f>'Term Sheet'!$C$77</f>
        <v>15</v>
      </c>
      <c r="F147" s="55">
        <f>'Term Sheet'!$C$77</f>
        <v>15</v>
      </c>
      <c r="G147" s="55">
        <f>'Term Sheet'!$C$77</f>
        <v>15</v>
      </c>
      <c r="H147" s="55">
        <f>'Term Sheet'!$C$77</f>
        <v>15</v>
      </c>
      <c r="I147" s="55">
        <f>'Term Sheet'!$C$77</f>
        <v>15</v>
      </c>
    </row>
    <row r="148">
      <c r="B148" t="s" s="9">
        <v>351</v>
      </c>
      <c r="C148" s="22">
        <f>C147-C114</f>
        <v>5.643212318879325</v>
      </c>
      <c r="D148" s="22">
        <f>D147-D114</f>
        <v>6.483027395354606</v>
      </c>
      <c r="E148" s="22">
        <f>E147-E114</f>
        <v>7.432342106398606</v>
      </c>
      <c r="F148" s="22">
        <f>F147-F114</f>
        <v>8.121664289432982</v>
      </c>
      <c r="G148" s="22">
        <f>G147-G114</f>
        <v>8.79883523483242</v>
      </c>
      <c r="H148" s="22">
        <f>H147-H114</f>
        <v>9.371231801942264</v>
      </c>
      <c r="I148" s="22">
        <f>I147-I114</f>
        <v>9.923558352778828</v>
      </c>
    </row>
    <row r="149">
      <c r="B149" t="s" s="41">
        <v>352</v>
      </c>
      <c r="C149" s="53">
        <f>1-C114/C147</f>
        <v>0.37621415459195495</v>
      </c>
      <c r="D149" s="53">
        <f>1-D114/D147</f>
        <v>0.4322018263569737</v>
      </c>
      <c r="E149" s="53">
        <f>1-E114/E147</f>
        <v>0.49548947375990704</v>
      </c>
      <c r="F149" s="53">
        <f>1-F114/F147</f>
        <v>0.5414442859621987</v>
      </c>
      <c r="G149" s="53">
        <f>1-G114/G147</f>
        <v>0.5865890156554947</v>
      </c>
      <c r="H149" s="53">
        <f>1-H114/H147</f>
        <v>0.624748786796151</v>
      </c>
      <c r="I149" s="53">
        <f>1-I114/I147</f>
        <v>0.6615705568519219</v>
      </c>
    </row>
    <row r="150">
      <c r="B150" t="s" s="9">
        <v>353</v>
      </c>
      <c r="C150" s="11">
        <f>C106-C110/C147</f>
        <v>105.54500000000002</v>
      </c>
      <c r="D150" s="11">
        <f>D106-D110/D147</f>
        <v>135.3474340522735</v>
      </c>
      <c r="E150" s="11">
        <f>E106-E110/E147</f>
        <v>178.79085844713933</v>
      </c>
      <c r="F150" s="11">
        <f>F106-F110/F147</f>
        <v>217.9928154001656</v>
      </c>
      <c r="G150" s="11">
        <f>G106-G110/G147</f>
        <v>261.0273596684783</v>
      </c>
      <c r="H150" s="11">
        <f>H106-H110/H147</f>
        <v>301.7709605135068</v>
      </c>
      <c r="I150" s="11">
        <f>I106-I110/I147</f>
        <v>344.8495664803455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92"/>
  <sheetViews>
    <sheetView showGridLines="0" workbookViewId="0">
      <selection activeCell="A1" sqref="A1"/>
    </sheetView>
  </sheetViews>
  <cols>
    <col min="1" max="1" width="2.21875" customWidth="1"/>
    <col min="2" max="2" width="62.7890625" customWidth="1"/>
    <col min="3" max="3" width="15.21875" customWidth="1"/>
    <col min="4" max="10" width="16.359375" customWidth="1"/>
  </cols>
  <sheetData>
    <row r="2">
      <c r="B2" t="s" s="1">
        <v>190</v>
      </c>
    </row>
    <row r="3">
      <c r="B3" t="s" s="3">
        <v>1</v>
      </c>
    </row>
    <row r="5">
      <c r="B5" t="s" s="34">
        <v>191</v>
      </c>
      <c r="C5" s="34"/>
      <c r="D5" s="34"/>
      <c r="E5" s="34"/>
      <c r="F5" s="34"/>
      <c r="G5" s="34"/>
      <c r="H5" s="34"/>
      <c r="I5" s="34"/>
      <c r="J5" s="33"/>
    </row>
    <row r="6">
      <c r="B6" t="s" s="9">
        <v>468</v>
      </c>
      <c r="C6" s="18">
        <v>1</v>
      </c>
    </row>
    <row r="7">
      <c r="B7" t="s" s="9">
        <v>193</v>
      </c>
      <c r="C7" t="s" s="51">
        <v>496</v>
      </c>
    </row>
    <row r="9">
      <c r="B9" t="s" s="9">
        <v>739</v>
      </c>
    </row>
    <row r="10">
      <c r="B10" t="s" s="9">
        <v>195</v>
      </c>
    </row>
    <row r="11">
      <c r="B11" t="s" s="9">
        <v>196</v>
      </c>
    </row>
    <row r="12">
      <c r="B12" t="s" s="9">
        <v>197</v>
      </c>
    </row>
    <row r="13">
      <c r="B13" t="s" s="9">
        <v>198</v>
      </c>
    </row>
    <row r="14">
      <c r="B14" t="s" s="9">
        <v>469</v>
      </c>
    </row>
    <row r="15">
      <c r="B15" t="s" s="34">
        <v>199</v>
      </c>
      <c r="C15" s="34"/>
      <c r="D15" s="34"/>
      <c r="E15" s="34"/>
      <c r="F15" s="34"/>
      <c r="G15" s="34"/>
      <c r="H15" s="34"/>
      <c r="I15" s="34"/>
      <c r="J15" s="33"/>
    </row>
    <row r="16">
      <c r="B16" t="s" s="9">
        <v>200</v>
      </c>
      <c r="C16" s="16">
        <f>IF(C6=2,0,'Term Sheet'!$C$28)</f>
        <v>1</v>
      </c>
    </row>
    <row r="17">
      <c r="B17" t="s" s="9">
        <v>201</v>
      </c>
      <c r="C17" s="16">
        <f>IF(C6=3,1,0)</f>
        <v>0</v>
      </c>
    </row>
    <row r="18">
      <c r="B18" t="s" s="9">
        <v>202</v>
      </c>
      <c r="C18" s="56">
        <f>IF(C6=4,C29,IF(C6=5,-C29,IF(C6=6,C30,0)))</f>
        <v>0</v>
      </c>
    </row>
    <row r="20">
      <c r="B20" t="s" s="34">
        <v>203</v>
      </c>
      <c r="C20" s="34"/>
      <c r="D20" s="34"/>
      <c r="E20" s="34"/>
      <c r="F20" s="34"/>
      <c r="G20" s="34"/>
      <c r="H20" s="34"/>
      <c r="I20" s="34"/>
      <c r="J20" s="33"/>
    </row>
    <row r="21">
      <c r="B21" t="s" s="9">
        <v>204</v>
      </c>
      <c r="C21" s="58">
        <v>46752</v>
      </c>
    </row>
    <row r="22">
      <c r="B22" t="s" s="9">
        <v>205</v>
      </c>
      <c r="C22" s="15">
        <f>'Term Sheet'!$C$54</f>
        <v>500</v>
      </c>
    </row>
    <row r="23">
      <c r="B23" t="s" s="9">
        <v>206</v>
      </c>
      <c r="C23" s="59">
        <v>15</v>
      </c>
    </row>
    <row r="24">
      <c r="B24" t="s" s="9">
        <v>207</v>
      </c>
      <c r="C24" s="11">
        <f>C22/C23</f>
        <v>33.333333333333336</v>
      </c>
    </row>
    <row r="25">
      <c r="B25" t="s" s="9">
        <v>208</v>
      </c>
      <c r="C25" s="28">
        <v>0.5</v>
      </c>
    </row>
    <row r="26">
      <c r="B26" t="s" s="9">
        <v>209</v>
      </c>
      <c r="C26" s="28">
        <v>0.1</v>
      </c>
    </row>
    <row r="27">
      <c r="B27" t="s" s="9">
        <v>210</v>
      </c>
      <c r="C27" s="28">
        <v>0.7</v>
      </c>
    </row>
    <row r="28">
      <c r="B28" t="s" s="9">
        <v>211</v>
      </c>
      <c r="C28" s="57">
        <f>C23</f>
        <v>15</v>
      </c>
    </row>
    <row r="29">
      <c r="B29" t="s" s="9">
        <v>212</v>
      </c>
      <c r="C29" s="60">
        <v>0.01</v>
      </c>
    </row>
    <row r="30">
      <c r="B30" t="s" s="9">
        <v>470</v>
      </c>
      <c r="C30" s="82">
        <v>0.02</v>
      </c>
    </row>
    <row r="32">
      <c r="B32" t="s" s="34">
        <v>354</v>
      </c>
      <c r="C32" s="34"/>
      <c r="D32" s="34"/>
      <c r="E32" s="34"/>
      <c r="F32" s="34"/>
      <c r="G32" s="34"/>
      <c r="H32" s="34"/>
      <c r="I32" s="34"/>
      <c r="J32" s="34"/>
    </row>
    <row r="33">
      <c r="B33" t="s" s="1">
        <v>355</v>
      </c>
      <c r="C33" s="1"/>
      <c r="D33" t="s" s="37">
        <v>376</v>
      </c>
      <c r="E33" t="s" s="37">
        <v>377</v>
      </c>
      <c r="F33" t="s" s="37">
        <v>378</v>
      </c>
      <c r="G33" t="s" s="37">
        <v>379</v>
      </c>
      <c r="H33" t="s" s="37">
        <v>380</v>
      </c>
      <c r="I33" t="s" s="37">
        <v>381</v>
      </c>
      <c r="J33" t="s" s="37">
        <v>502</v>
      </c>
    </row>
    <row r="34">
      <c r="B34" t="s" s="61">
        <v>356</v>
      </c>
      <c r="C34" s="61"/>
      <c r="D34" s="61"/>
      <c r="E34" s="62">
        <v>1</v>
      </c>
      <c r="F34" s="62">
        <v>2</v>
      </c>
      <c r="G34" s="62">
        <v>3</v>
      </c>
      <c r="H34" s="62">
        <v>4</v>
      </c>
      <c r="I34" s="62">
        <v>5</v>
      </c>
      <c r="J34" s="62">
        <v>6</v>
      </c>
    </row>
    <row r="35">
      <c r="B35" t="s" s="9">
        <v>357</v>
      </c>
      <c r="D35" s="15">
        <f>'Debt Schedule'!H116</f>
        <v>2510.8059791345954</v>
      </c>
      <c r="E35" s="11">
        <f t="dataTable" ref="E35:J55" dtr="1" r1="C6"/>
        <v>2510.8059791345954</v>
      </c>
      <c r="F35" s="11">
        <v>2491.5621647252074</v>
      </c>
      <c r="G35" s="11">
        <v>3072.615608663171</v>
      </c>
      <c r="H35" s="11">
        <v>2660.034862985413</v>
      </c>
      <c r="I35" s="11">
        <v>2369.122720701967</v>
      </c>
      <c r="J35" s="11">
        <v>2816.6767693024267</v>
      </c>
    </row>
    <row r="36">
      <c r="B36" t="s" s="9">
        <v>358</v>
      </c>
      <c r="D36" s="15">
        <f>'Debt Schedule'!H118</f>
        <v>2435.8059791345954</v>
      </c>
      <c r="E36" s="11">
        <v>2435.8059791345954</v>
      </c>
      <c r="F36" s="11">
        <v>2416.5621647252074</v>
      </c>
      <c r="G36" s="11">
        <v>2997.615608663171</v>
      </c>
      <c r="H36" s="11">
        <v>2585.034862985413</v>
      </c>
      <c r="I36" s="11">
        <v>2294.122720701967</v>
      </c>
      <c r="J36" s="11">
        <v>2741.6767693024267</v>
      </c>
    </row>
    <row r="37">
      <c r="B37" t="s" s="9">
        <v>359</v>
      </c>
      <c r="D37" s="55">
        <f>'Debt Schedule'!H119</f>
        <v>4.378088830787539</v>
      </c>
      <c r="E37" s="22">
        <v>4.378088830787539</v>
      </c>
      <c r="F37" s="22">
        <v>4.344533418849047</v>
      </c>
      <c r="G37" s="22">
        <v>4.972994239288183</v>
      </c>
      <c r="H37" s="22">
        <v>4.6382990242662645</v>
      </c>
      <c r="I37" s="22">
        <v>4.131035933666721</v>
      </c>
      <c r="J37" s="22">
        <v>4.91143529452326</v>
      </c>
    </row>
    <row r="38">
      <c r="B38" t="s" s="9">
        <v>360</v>
      </c>
      <c r="D38" s="55">
        <f>'Debt Schedule'!H120</f>
        <v>4.24731143697942</v>
      </c>
      <c r="E38" s="22">
        <v>4.24731143697942</v>
      </c>
      <c r="F38" s="22">
        <v>4.213756025040928</v>
      </c>
      <c r="G38" s="22">
        <v>4.85160757221046</v>
      </c>
      <c r="H38" s="22">
        <v>4.507521630458146</v>
      </c>
      <c r="I38" s="22">
        <v>4.000258539858601</v>
      </c>
      <c r="J38" s="22">
        <v>4.78065790071514</v>
      </c>
    </row>
    <row r="39">
      <c r="B39" t="s" s="9">
        <v>471</v>
      </c>
      <c r="D39" s="55">
        <f>'Debt Schedule'!E120</f>
        <v>6.791135563205034</v>
      </c>
      <c r="E39" s="22">
        <v>6.791135563205034</v>
      </c>
      <c r="F39" s="22">
        <v>6.762047221403834</v>
      </c>
      <c r="G39" s="22">
        <v>7.45266240941886</v>
      </c>
      <c r="H39" s="22">
        <v>6.901097166900291</v>
      </c>
      <c r="I39" s="22">
        <v>6.683717227267722</v>
      </c>
      <c r="J39" s="22">
        <v>7.012670024323014</v>
      </c>
    </row>
    <row r="40">
      <c r="B40" t="s" s="9">
        <v>362</v>
      </c>
      <c r="D40" s="55">
        <f>MAX('Debt Schedule'!D120:I120)</f>
        <v>7.936648178943915</v>
      </c>
      <c r="E40" s="22">
        <v>7.936648178943915</v>
      </c>
      <c r="F40" s="22">
        <v>7.925666636284945</v>
      </c>
      <c r="G40" s="22">
        <v>7.936648178943915</v>
      </c>
      <c r="H40" s="22">
        <v>7.978341165041461</v>
      </c>
      <c r="I40" s="22">
        <v>7.895494163177697</v>
      </c>
      <c r="J40" s="22">
        <v>8.020371264423634</v>
      </c>
    </row>
    <row r="41">
      <c r="B41" t="s" s="9">
        <v>472</v>
      </c>
      <c r="D41" s="55">
        <f>MIN('Credit Stats'!D20:I20)</f>
        <v>1.9909755325578997</v>
      </c>
      <c r="E41" s="22">
        <v>1.9909755325578997</v>
      </c>
      <c r="F41" s="22">
        <v>1.4623592868077526</v>
      </c>
      <c r="G41" s="22">
        <v>1.9069093208205063</v>
      </c>
      <c r="H41" s="22">
        <v>1.7099365201723098</v>
      </c>
      <c r="I41" s="22">
        <v>2.3748686957570113</v>
      </c>
      <c r="J41" s="22">
        <v>1.4964975297846943</v>
      </c>
    </row>
    <row r="42">
      <c r="B42" t="s" s="9">
        <v>473</v>
      </c>
      <c r="D42" s="55">
        <f>MIN('Credit Stats'!D21:I21)</f>
        <v>1.417952135861084</v>
      </c>
      <c r="E42" s="22">
        <v>1.417952135861084</v>
      </c>
      <c r="F42" s="22">
        <v>1.4623592868077526</v>
      </c>
      <c r="G42" s="22">
        <v>1.417952135861084</v>
      </c>
      <c r="H42" s="22">
        <v>1.2693688043198263</v>
      </c>
      <c r="I42" s="22">
        <v>1.6024305896517055</v>
      </c>
      <c r="J42" s="22">
        <v>1.1478380473625804</v>
      </c>
    </row>
    <row r="43">
      <c r="B43" t="s" s="9">
        <v>474</v>
      </c>
      <c r="D43" s="55">
        <f>MIN('Credit Stats'!D25:I25)</f>
        <v>1.8593464222156975</v>
      </c>
      <c r="E43" s="22">
        <v>1.8593464222156975</v>
      </c>
      <c r="F43" s="22">
        <v>1.3656785146056643</v>
      </c>
      <c r="G43" s="22">
        <v>1.7894995666849989</v>
      </c>
      <c r="H43" s="22">
        <v>1.5968877060551645</v>
      </c>
      <c r="I43" s="22">
        <v>2.2178593058925222</v>
      </c>
      <c r="J43" s="22">
        <v>1.397559780297743</v>
      </c>
    </row>
    <row r="44">
      <c r="B44" t="s" s="9">
        <v>366</v>
      </c>
      <c r="D44" s="15">
        <f>SUM('Debt Schedule'!D101:H101)</f>
        <v>959.8830845358451</v>
      </c>
      <c r="E44" s="11">
        <v>959.8830845358451</v>
      </c>
      <c r="F44" s="11">
        <v>1075.9819796429097</v>
      </c>
      <c r="G44" s="11">
        <v>1105.9888179404861</v>
      </c>
      <c r="H44" s="11">
        <v>1111.1512922554048</v>
      </c>
      <c r="I44" s="11">
        <v>816.3253099458236</v>
      </c>
      <c r="J44" s="11">
        <v>1271.0517732351113</v>
      </c>
    </row>
    <row r="45">
      <c r="B45" t="s" s="9">
        <v>367</v>
      </c>
      <c r="D45" s="15">
        <f>SUM('Debt Schedule'!D102:H102)</f>
        <v>135.46081103270507</v>
      </c>
      <c r="E45" s="11">
        <v>135.46081103270507</v>
      </c>
      <c r="F45" s="11">
        <v>0</v>
      </c>
      <c r="G45" s="11">
        <v>147.78804048997313</v>
      </c>
      <c r="H45" s="11">
        <v>136.69174181241942</v>
      </c>
      <c r="I45" s="11">
        <v>134.26164307451654</v>
      </c>
      <c r="J45" s="11">
        <v>136.82152329748135</v>
      </c>
    </row>
    <row r="46">
      <c r="B46" t="s" s="9">
        <v>475</v>
      </c>
      <c r="D46" s="15">
        <f>MIN('Credit Stats'!D11:I11)</f>
        <v>75</v>
      </c>
      <c r="E46" s="11">
        <v>75</v>
      </c>
      <c r="F46" s="11">
        <v>75</v>
      </c>
      <c r="G46" s="11">
        <v>75</v>
      </c>
      <c r="H46" s="11">
        <v>75</v>
      </c>
      <c r="I46" s="11">
        <v>75</v>
      </c>
      <c r="J46" s="11">
        <v>74.99999999999604</v>
      </c>
    </row>
    <row r="47">
      <c r="B47" t="s" s="9">
        <v>370</v>
      </c>
      <c r="D47" s="15">
        <f>MAX('Credit Stats'!D30:I30)</f>
        <v>0</v>
      </c>
      <c r="E47" s="11">
        <v>0</v>
      </c>
      <c r="F47" s="11">
        <v>49.21783065682233</v>
      </c>
      <c r="G47" s="11">
        <v>0</v>
      </c>
      <c r="H47" s="11">
        <v>10.314618593372973</v>
      </c>
      <c r="I47" s="11">
        <v>0</v>
      </c>
      <c r="J47" s="11">
        <v>56.43238601112764</v>
      </c>
    </row>
    <row r="48">
      <c r="B48" t="s" s="9">
        <v>476</v>
      </c>
      <c r="D48" s="27">
        <f>COUNTIF('Credit Stats'!D36:I36,"No")</f>
        <v>1</v>
      </c>
      <c r="E48" s="16">
        <v>1</v>
      </c>
      <c r="F48" s="16">
        <v>1</v>
      </c>
      <c r="G48" s="16">
        <v>1</v>
      </c>
      <c r="H48" s="16">
        <v>1</v>
      </c>
      <c r="I48" s="16">
        <v>1</v>
      </c>
      <c r="J48" s="16">
        <v>1</v>
      </c>
    </row>
    <row r="49">
      <c r="B49" t="s" s="9">
        <v>477</v>
      </c>
      <c r="D49" s="27">
        <f>COUNTIF('Credit Stats'!D41:F41,"No")</f>
        <v>0</v>
      </c>
      <c r="E49" s="16">
        <v>0</v>
      </c>
      <c r="F49" s="16">
        <v>0</v>
      </c>
      <c r="G49" s="16">
        <v>0</v>
      </c>
      <c r="H49" s="16">
        <v>0</v>
      </c>
      <c r="I49" s="16">
        <v>0</v>
      </c>
      <c r="J49" s="16">
        <v>1</v>
      </c>
    </row>
    <row r="50">
      <c r="B50" t="s" s="9">
        <v>478</v>
      </c>
      <c r="D50" s="27">
        <f>COUNTIF('Credit Stats'!D46:I46,"Tested")</f>
        <v>0</v>
      </c>
      <c r="E50" s="16">
        <v>0</v>
      </c>
      <c r="F50" s="16">
        <v>0</v>
      </c>
      <c r="G50" s="16">
        <v>0</v>
      </c>
      <c r="H50" s="16">
        <v>0</v>
      </c>
      <c r="I50" s="16">
        <v>0</v>
      </c>
      <c r="J50" s="16">
        <v>0</v>
      </c>
    </row>
    <row r="51">
      <c r="B51" t="s" s="9">
        <v>479</v>
      </c>
      <c r="D51" s="29">
        <f>MIN('Credit Stats'!D51:I51)</f>
        <v>0.470890121403739</v>
      </c>
      <c r="E51" s="25">
        <v>0.470890121403739</v>
      </c>
      <c r="F51" s="25">
        <v>0.4716222242476703</v>
      </c>
      <c r="G51" s="25">
        <v>0.470890121403739</v>
      </c>
      <c r="H51" s="25">
        <v>0.4681105889972359</v>
      </c>
      <c r="I51" s="25">
        <v>0.47363372245482016</v>
      </c>
      <c r="J51" s="25">
        <v>0.46530858237175776</v>
      </c>
    </row>
    <row r="52">
      <c r="B52" t="s" s="9">
        <v>480</v>
      </c>
      <c r="D52" s="55">
        <f>'Debt Schedule'!H132</f>
        <v>2.351589225814409</v>
      </c>
      <c r="E52" s="22">
        <v>2.351589225814409</v>
      </c>
      <c r="F52" s="22">
        <v>2.3549435411567416</v>
      </c>
      <c r="G52" s="22">
        <v>2.3812631706160228</v>
      </c>
      <c r="H52" s="22">
        <v>2.3255777125057087</v>
      </c>
      <c r="I52" s="22">
        <v>2.3762854901517114</v>
      </c>
      <c r="J52" s="22">
        <v>2.298274063736624</v>
      </c>
    </row>
    <row r="53">
      <c r="B53" t="s" s="63">
        <v>481</v>
      </c>
      <c r="C53" s="1"/>
      <c r="D53" s="83">
        <f>'Debt Schedule'!H133</f>
        <v>0.2082301161586022</v>
      </c>
      <c r="E53" s="52">
        <v>0.2082301161586022</v>
      </c>
      <c r="F53" s="52">
        <v>0.20861114681533022</v>
      </c>
      <c r="G53" s="52">
        <v>0.2115863257953321</v>
      </c>
      <c r="H53" s="52">
        <v>0.2052609013776887</v>
      </c>
      <c r="I53" s="52">
        <v>0.21102561786292928</v>
      </c>
      <c r="J53" s="52">
        <v>0.20211623456477046</v>
      </c>
    </row>
    <row r="54">
      <c r="B54" t="s" s="9">
        <v>482</v>
      </c>
      <c r="D54" s="55">
        <f>'Debt Schedule'!H168</f>
        <v>2.351589225814409</v>
      </c>
      <c r="E54" s="22">
        <v>2.351589225814409</v>
      </c>
      <c r="F54" s="22">
        <v>2.3549435411567416</v>
      </c>
      <c r="G54" s="22">
        <v>2.3812631706160228</v>
      </c>
      <c r="H54" s="22">
        <v>2.3255777125057087</v>
      </c>
      <c r="I54" s="22">
        <v>2.3762854901517114</v>
      </c>
      <c r="J54" s="22">
        <v>2.298274063736624</v>
      </c>
    </row>
    <row r="55">
      <c r="B55" t="s" s="63">
        <v>483</v>
      </c>
      <c r="C55" s="1"/>
      <c r="D55" s="83">
        <f>'Debt Schedule'!H169</f>
        <v>0.2082301161586022</v>
      </c>
      <c r="E55" s="52">
        <v>0.2082301161586022</v>
      </c>
      <c r="F55" s="52">
        <v>0.20861114681533022</v>
      </c>
      <c r="G55" s="52">
        <v>0.2115863257953321</v>
      </c>
      <c r="H55" s="52">
        <v>0.2052609013776887</v>
      </c>
      <c r="I55" s="52">
        <v>0.21102561786292928</v>
      </c>
      <c r="J55" s="52">
        <v>0.20211623456477046</v>
      </c>
    </row>
    <row r="56">
      <c r="E56"/>
      <c r="F56"/>
      <c r="G56"/>
      <c r="H56"/>
      <c r="I56"/>
    </row>
    <row r="57">
      <c r="B57" t="s" s="34">
        <v>373</v>
      </c>
      <c r="C57" s="34"/>
      <c r="D57" s="34"/>
      <c r="E57" s="34"/>
      <c r="F57" s="34"/>
      <c r="G57" s="34"/>
      <c r="H57" s="34"/>
      <c r="I57" s="34"/>
      <c r="J57" s="34"/>
    </row>
    <row r="58">
      <c r="B58" t="s" s="1">
        <v>355</v>
      </c>
      <c r="C58" s="1"/>
      <c r="D58" t="s" s="37">
        <v>376</v>
      </c>
      <c r="E58" t="s" s="37">
        <v>377</v>
      </c>
      <c r="F58" t="s" s="37">
        <v>378</v>
      </c>
      <c r="G58" t="s" s="37">
        <v>379</v>
      </c>
      <c r="H58" t="s" s="37">
        <v>380</v>
      </c>
      <c r="I58" t="s" s="37">
        <v>381</v>
      </c>
      <c r="J58" t="s" s="37">
        <v>502</v>
      </c>
    </row>
    <row r="59">
      <c r="B59" t="s" s="61">
        <v>356</v>
      </c>
      <c r="C59" s="61"/>
      <c r="D59" s="61"/>
      <c r="E59" s="62">
        <v>1</v>
      </c>
      <c r="F59" s="62">
        <v>2</v>
      </c>
      <c r="G59" s="62">
        <v>3</v>
      </c>
      <c r="H59" s="62">
        <v>4</v>
      </c>
      <c r="I59" s="62">
        <v>5</v>
      </c>
      <c r="J59" s="62">
        <v>6</v>
      </c>
    </row>
    <row r="60">
      <c r="B60" t="s" s="9">
        <v>357</v>
      </c>
      <c r="D60" s="15">
        <f>'Debt Schedule'!P116</f>
        <v>1970.1437018443035</v>
      </c>
      <c r="E60" s="11">
        <f t="dataTable" ref="E60:J80" dtr="1" r1="C6"/>
        <v>1970.1437018443035</v>
      </c>
      <c r="F60" s="11">
        <v>1951.1898070267323</v>
      </c>
      <c r="G60" s="11">
        <v>2531.4470920629346</v>
      </c>
      <c r="H60" s="11">
        <v>2111.0535276340843</v>
      </c>
      <c r="I60" s="11">
        <v>1836.4200555047069</v>
      </c>
      <c r="J60" s="11">
        <v>2259.541321121791</v>
      </c>
    </row>
    <row r="61">
      <c r="B61" t="s" s="9">
        <v>358</v>
      </c>
      <c r="D61" s="15">
        <f>'Debt Schedule'!P118</f>
        <v>1895.1437018443035</v>
      </c>
      <c r="E61" s="11">
        <v>1895.1437018443035</v>
      </c>
      <c r="F61" s="11">
        <v>1876.1898070267323</v>
      </c>
      <c r="G61" s="11">
        <v>2456.4470920629346</v>
      </c>
      <c r="H61" s="11">
        <v>2036.0535276340843</v>
      </c>
      <c r="I61" s="11">
        <v>1761.4200555047069</v>
      </c>
      <c r="J61" s="11">
        <v>2184.541321121791</v>
      </c>
    </row>
    <row r="62">
      <c r="B62" t="s" s="9">
        <v>359</v>
      </c>
      <c r="D62" s="55">
        <f>'Debt Schedule'!P119</f>
        <v>2.577272099974401</v>
      </c>
      <c r="E62" s="22">
        <v>2.577272099974401</v>
      </c>
      <c r="F62" s="22">
        <v>2.5524772871628043</v>
      </c>
      <c r="G62" s="22">
        <v>3.129893697323067</v>
      </c>
      <c r="H62" s="22">
        <v>2.7616053353014935</v>
      </c>
      <c r="I62" s="22">
        <v>2.402339569674577</v>
      </c>
      <c r="J62" s="22">
        <v>2.9558517991428763</v>
      </c>
    </row>
    <row r="63">
      <c r="B63" t="s" s="9">
        <v>360</v>
      </c>
      <c r="D63" s="55">
        <f>'Debt Schedule'!P120</f>
        <v>2.479159760596755</v>
      </c>
      <c r="E63" s="22">
        <v>2.479159760596755</v>
      </c>
      <c r="F63" s="22">
        <v>2.4543649477851583</v>
      </c>
      <c r="G63" s="22">
        <v>3.0371633266053704</v>
      </c>
      <c r="H63" s="22">
        <v>2.6634929959238476</v>
      </c>
      <c r="I63" s="22">
        <v>2.304227230296931</v>
      </c>
      <c r="J63" s="22">
        <v>2.8577394597652304</v>
      </c>
    </row>
    <row r="64">
      <c r="B64" t="s" s="9">
        <v>471</v>
      </c>
      <c r="D64" s="55">
        <f>'Debt Schedule'!M120</f>
        <v>6.320849521991308</v>
      </c>
      <c r="E64" s="22">
        <v>6.320849521991308</v>
      </c>
      <c r="F64" s="22">
        <v>6.293447958674631</v>
      </c>
      <c r="G64" s="22">
        <v>6.9829444698917245</v>
      </c>
      <c r="H64" s="22">
        <v>6.423832854624428</v>
      </c>
      <c r="I64" s="22">
        <v>6.21996366983624</v>
      </c>
      <c r="J64" s="22">
        <v>6.5289972651346915</v>
      </c>
    </row>
    <row r="65">
      <c r="B65" t="s" s="9">
        <v>362</v>
      </c>
      <c r="D65" s="55">
        <f>MAX('Debt Schedule'!L120:Q120)</f>
        <v>7.833669084657863</v>
      </c>
      <c r="E65" s="22">
        <v>7.833669084657863</v>
      </c>
      <c r="F65" s="22">
        <v>7.8226959927831015</v>
      </c>
      <c r="G65" s="22">
        <v>7.833669084657863</v>
      </c>
      <c r="H65" s="22">
        <v>7.874731456043164</v>
      </c>
      <c r="I65" s="22">
        <v>7.793020150988344</v>
      </c>
      <c r="J65" s="22">
        <v>7.91624540525656</v>
      </c>
    </row>
    <row r="66">
      <c r="B66" t="s" s="9">
        <v>472</v>
      </c>
      <c r="D66" s="55">
        <f>MIN('Credit Stats'!D69:I69)</f>
        <v>2.014265215591949</v>
      </c>
      <c r="E66" s="22">
        <v>2.014265215591949</v>
      </c>
      <c r="F66" s="22">
        <v>1.4804368320368395</v>
      </c>
      <c r="G66" s="22">
        <v>2.014265215591949</v>
      </c>
      <c r="H66" s="22">
        <v>1.7314408458220276</v>
      </c>
      <c r="I66" s="22">
        <v>2.402649016643531</v>
      </c>
      <c r="J66" s="22">
        <v>1.5152872310091847</v>
      </c>
    </row>
    <row r="67">
      <c r="B67" t="s" s="9">
        <v>473</v>
      </c>
      <c r="D67" s="55">
        <f>MIN('Credit Stats'!D70:I70)</f>
        <v>1.4345388066973808</v>
      </c>
      <c r="E67" s="22">
        <v>1.4345388066973808</v>
      </c>
      <c r="F67" s="22">
        <v>1.4804368320368395</v>
      </c>
      <c r="G67" s="22">
        <v>1.4345388066973808</v>
      </c>
      <c r="H67" s="22">
        <v>1.2850450145160794</v>
      </c>
      <c r="I67" s="22">
        <v>1.6211752200636655</v>
      </c>
      <c r="J67" s="22">
        <v>1.162020409924625</v>
      </c>
    </row>
    <row r="68">
      <c r="B68" t="s" s="9">
        <v>474</v>
      </c>
      <c r="D68" s="55">
        <f>MIN('Credit Stats'!D74:I74)</f>
        <v>1.8509467431524869</v>
      </c>
      <c r="E68" s="22">
        <v>1.8509467431524869</v>
      </c>
      <c r="F68" s="22">
        <v>1.3604016549013802</v>
      </c>
      <c r="G68" s="22">
        <v>1.8509467431524869</v>
      </c>
      <c r="H68" s="22">
        <v>1.5910540328690757</v>
      </c>
      <c r="I68" s="22">
        <v>2.2078400291433016</v>
      </c>
      <c r="J68" s="22">
        <v>1.3924263515381983</v>
      </c>
    </row>
    <row r="69">
      <c r="B69" t="s" s="9">
        <v>366</v>
      </c>
      <c r="D69" s="15">
        <f>SUM('Debt Schedule'!L101:P101)</f>
        <v>897.9014442190514</v>
      </c>
      <c r="E69" s="11">
        <v>897.9014442190514</v>
      </c>
      <c r="F69" s="11">
        <v>1012.7259431395241</v>
      </c>
      <c r="G69" s="11">
        <v>1043.5033808785608</v>
      </c>
      <c r="H69" s="11">
        <v>1040.7413017399012</v>
      </c>
      <c r="I69" s="11">
        <v>762.2635586772644</v>
      </c>
      <c r="J69" s="11">
        <v>1191.458514774362</v>
      </c>
    </row>
    <row r="70">
      <c r="B70" t="s" s="9">
        <v>367</v>
      </c>
      <c r="D70" s="15">
        <f>SUM('Debt Schedule'!L102:P102)</f>
        <v>134.01966344393</v>
      </c>
      <c r="E70" s="11">
        <v>134.01966344393</v>
      </c>
      <c r="F70" s="11">
        <v>0</v>
      </c>
      <c r="G70" s="11">
        <v>146.34445033638514</v>
      </c>
      <c r="H70" s="11">
        <v>135.2367181713638</v>
      </c>
      <c r="I70" s="11">
        <v>132.83115710481346</v>
      </c>
      <c r="J70" s="11">
        <v>136.3956547889842</v>
      </c>
    </row>
    <row r="71">
      <c r="B71" t="s" s="9">
        <v>475</v>
      </c>
      <c r="D71" s="15">
        <f>MIN('Credit Stats'!D60:I60)</f>
        <v>75</v>
      </c>
      <c r="E71" s="11">
        <v>75</v>
      </c>
      <c r="F71" s="11">
        <v>75</v>
      </c>
      <c r="G71" s="11">
        <v>75</v>
      </c>
      <c r="H71" s="11">
        <v>75</v>
      </c>
      <c r="I71" s="11">
        <v>75</v>
      </c>
      <c r="J71" s="11">
        <v>74.99999999999994</v>
      </c>
    </row>
    <row r="72">
      <c r="B72" t="s" s="9">
        <v>370</v>
      </c>
      <c r="D72" s="15">
        <f>MAX('Credit Stats'!D79:I79)</f>
        <v>0</v>
      </c>
      <c r="E72" s="11">
        <v>0</v>
      </c>
      <c r="F72" s="11">
        <v>24.026162634561544</v>
      </c>
      <c r="G72" s="11">
        <v>0</v>
      </c>
      <c r="H72" s="11">
        <v>6.467349219847963</v>
      </c>
      <c r="I72" s="11">
        <v>0</v>
      </c>
      <c r="J72" s="11">
        <v>20.52535910314463</v>
      </c>
    </row>
    <row r="73">
      <c r="B73" t="s" s="9">
        <v>476</v>
      </c>
      <c r="D73" s="27">
        <f>COUNTIF('Credit Stats'!D85:I85,"No")</f>
        <v>1</v>
      </c>
      <c r="E73" s="16">
        <v>1</v>
      </c>
      <c r="F73" s="16">
        <v>1</v>
      </c>
      <c r="G73" s="16">
        <v>1</v>
      </c>
      <c r="H73" s="16">
        <v>1</v>
      </c>
      <c r="I73" s="16">
        <v>1</v>
      </c>
      <c r="J73" s="16">
        <v>1</v>
      </c>
    </row>
    <row r="74">
      <c r="B74" t="s" s="9">
        <v>477</v>
      </c>
      <c r="D74" s="27">
        <f>COUNTIF('Credit Stats'!D90:F90,"No")</f>
        <v>0</v>
      </c>
      <c r="E74" s="16">
        <v>0</v>
      </c>
      <c r="F74" s="16">
        <v>0</v>
      </c>
      <c r="G74" s="16">
        <v>0</v>
      </c>
      <c r="H74" s="16">
        <v>0</v>
      </c>
      <c r="I74" s="16">
        <v>0</v>
      </c>
      <c r="J74" s="16">
        <v>0</v>
      </c>
    </row>
    <row r="75">
      <c r="B75" t="s" s="9">
        <v>478</v>
      </c>
      <c r="D75" s="27">
        <f>COUNTIF('Credit Stats'!D95:I95,"Tested")</f>
        <v>0</v>
      </c>
      <c r="E75" s="16">
        <v>0</v>
      </c>
      <c r="F75" s="16">
        <v>0</v>
      </c>
      <c r="G75" s="16">
        <v>0</v>
      </c>
      <c r="H75" s="16">
        <v>0</v>
      </c>
      <c r="I75" s="16">
        <v>0</v>
      </c>
      <c r="J75" s="16">
        <v>0</v>
      </c>
    </row>
    <row r="76">
      <c r="B76" t="s" s="9">
        <v>479</v>
      </c>
      <c r="D76" s="29">
        <f>MIN('Credit Stats'!D100:I100)</f>
        <v>0.47775539435614245</v>
      </c>
      <c r="E76" s="25">
        <v>0.47775539435614245</v>
      </c>
      <c r="F76" s="25">
        <v>0.47848693381445995</v>
      </c>
      <c r="G76" s="25">
        <v>0.47775539435614245</v>
      </c>
      <c r="H76" s="25">
        <v>0.47501790293045576</v>
      </c>
      <c r="I76" s="25">
        <v>0.48046532326744373</v>
      </c>
      <c r="J76" s="25">
        <v>0.47225030631622933</v>
      </c>
    </row>
    <row r="77">
      <c r="B77" t="s" s="9">
        <v>480</v>
      </c>
      <c r="D77" s="55">
        <f>'Debt Schedule'!P132</f>
        <v>3.5384552715091524</v>
      </c>
      <c r="E77" s="22">
        <v>3.5384552715091524</v>
      </c>
      <c r="F77" s="22">
        <v>3.541759052081497</v>
      </c>
      <c r="G77" s="22">
        <v>3.5682174569395784</v>
      </c>
      <c r="H77" s="22">
        <v>3.513893821243789</v>
      </c>
      <c r="I77" s="22">
        <v>3.561764126448573</v>
      </c>
      <c r="J77" s="22">
        <v>3.488011484548526</v>
      </c>
    </row>
    <row r="78">
      <c r="B78" t="s" s="63">
        <v>481</v>
      </c>
      <c r="C78" s="1"/>
      <c r="D78" s="83">
        <f>'Debt Schedule'!P133</f>
        <v>0.3225260799224414</v>
      </c>
      <c r="E78" s="52">
        <v>0.3225260799224414</v>
      </c>
      <c r="F78" s="52">
        <v>0.32279913660701753</v>
      </c>
      <c r="G78" s="52">
        <v>0.32497879220043435</v>
      </c>
      <c r="H78" s="52">
        <v>0.32048983238085493</v>
      </c>
      <c r="I78" s="52">
        <v>0.3244483274753984</v>
      </c>
      <c r="J78" s="52">
        <v>0.31833204759132694</v>
      </c>
    </row>
    <row r="79">
      <c r="B79" t="s" s="9">
        <v>482</v>
      </c>
      <c r="D79" s="55">
        <f>'Debt Schedule'!P168</f>
        <v>3.5837109276999883</v>
      </c>
      <c r="E79" s="22">
        <v>3.5837109276999883</v>
      </c>
      <c r="F79" s="22">
        <v>3.587014708272333</v>
      </c>
      <c r="G79" s="22">
        <v>3.6134731131304143</v>
      </c>
      <c r="H79" s="22">
        <v>3.559149477434625</v>
      </c>
      <c r="I79" s="22">
        <v>3.6070197826394095</v>
      </c>
      <c r="J79" s="22">
        <v>3.5332671407393628</v>
      </c>
    </row>
    <row r="80">
      <c r="B80" t="s" s="63">
        <v>483</v>
      </c>
      <c r="C80" s="1"/>
      <c r="D80" s="83">
        <f>'Debt Schedule'!P169</f>
        <v>0.32624931429358184</v>
      </c>
      <c r="E80" s="52">
        <v>0.32624931429358184</v>
      </c>
      <c r="F80" s="52">
        <v>0.32651968303030476</v>
      </c>
      <c r="G80" s="52">
        <v>0.3286779709123506</v>
      </c>
      <c r="H80" s="52">
        <v>0.32423318985465355</v>
      </c>
      <c r="I80" s="52">
        <v>0.32815269199888597</v>
      </c>
      <c r="J80" s="52">
        <v>0.3220968811532412</v>
      </c>
    </row>
    <row r="82">
      <c r="B82" t="s" s="34">
        <v>484</v>
      </c>
      <c r="C82" s="34"/>
      <c r="D82" s="34"/>
      <c r="E82" s="34"/>
      <c r="F82" s="34"/>
      <c r="G82" s="34"/>
      <c r="H82" s="34"/>
      <c r="I82" s="34"/>
      <c r="J82" s="34"/>
    </row>
    <row r="83">
      <c r="B83" t="s" s="1">
        <v>355</v>
      </c>
      <c r="C83" s="1"/>
      <c r="D83" t="s" s="37">
        <v>376</v>
      </c>
      <c r="E83" t="s" s="37">
        <v>377</v>
      </c>
      <c r="F83" t="s" s="37">
        <v>378</v>
      </c>
      <c r="G83" t="s" s="37">
        <v>379</v>
      </c>
      <c r="H83" t="s" s="37">
        <v>380</v>
      </c>
      <c r="I83" t="s" s="37">
        <v>381</v>
      </c>
      <c r="J83" t="s" s="37">
        <v>502</v>
      </c>
    </row>
    <row r="84">
      <c r="B84" t="s" s="61">
        <v>356</v>
      </c>
      <c r="C84" s="61"/>
      <c r="D84" s="61"/>
      <c r="E84" s="62">
        <v>1</v>
      </c>
      <c r="F84" s="62">
        <v>2</v>
      </c>
      <c r="G84" s="62">
        <v>3</v>
      </c>
      <c r="H84" s="62">
        <v>4</v>
      </c>
      <c r="I84" s="62">
        <v>5</v>
      </c>
      <c r="J84" s="62">
        <v>6</v>
      </c>
    </row>
    <row r="85">
      <c r="B85" t="s" s="9">
        <v>357</v>
      </c>
      <c r="D85" s="15">
        <f>'Debt Schedule'!X116</f>
        <v>2793.8508749997773</v>
      </c>
      <c r="E85" s="11">
        <f t="dataTable" ref="E85:J105" dtr="1" r1="C6"/>
        <v>2793.850874999777</v>
      </c>
      <c r="F85" s="11">
        <v>2773.2756834534553</v>
      </c>
      <c r="G85" s="11">
        <v>3367.012396967656</v>
      </c>
      <c r="H85" s="11">
        <v>2947.987687054765</v>
      </c>
      <c r="I85" s="11">
        <v>2637.511750037334</v>
      </c>
      <c r="J85" s="11">
        <v>3109.1651335685942</v>
      </c>
    </row>
    <row r="86">
      <c r="B86" t="s" s="9">
        <v>358</v>
      </c>
      <c r="D86" s="15">
        <f>'Debt Schedule'!X118</f>
        <v>2718.8508749997773</v>
      </c>
      <c r="E86" s="11">
        <v>2718.850874999777</v>
      </c>
      <c r="F86" s="11">
        <v>2698.2756834534553</v>
      </c>
      <c r="G86" s="11">
        <v>3292.012396967656</v>
      </c>
      <c r="H86" s="11">
        <v>2872.9876872673826</v>
      </c>
      <c r="I86" s="11">
        <v>2562.511750037334</v>
      </c>
      <c r="J86" s="11">
        <v>3034.1651335685942</v>
      </c>
    </row>
    <row r="87">
      <c r="B87" t="s" s="9">
        <v>359</v>
      </c>
      <c r="D87" s="55">
        <f>'Debt Schedule'!X119</f>
        <v>5.784038801067313</v>
      </c>
      <c r="E87" s="22">
        <v>5.784038801067312</v>
      </c>
      <c r="F87" s="22">
        <v>5.741442502421513</v>
      </c>
      <c r="G87" s="22">
        <v>6.38424052712927</v>
      </c>
      <c r="H87" s="22">
        <v>6.103144344450669</v>
      </c>
      <c r="I87" s="22">
        <v>5.460373864975205</v>
      </c>
      <c r="J87" s="22">
        <v>6.43682593527395</v>
      </c>
    </row>
    <row r="88">
      <c r="B88" t="s" s="9">
        <v>360</v>
      </c>
      <c r="D88" s="55">
        <f>'Debt Schedule'!X120</f>
        <v>5.628768198057736</v>
      </c>
      <c r="E88" s="22">
        <v>5.6287681980577355</v>
      </c>
      <c r="F88" s="22">
        <v>5.586171899411937</v>
      </c>
      <c r="G88" s="22">
        <v>6.2420319507765605</v>
      </c>
      <c r="H88" s="22">
        <v>5.94787374188127</v>
      </c>
      <c r="I88" s="22">
        <v>5.305103261965629</v>
      </c>
      <c r="J88" s="22">
        <v>6.281555332264373</v>
      </c>
    </row>
    <row r="89">
      <c r="B89" t="s" s="9">
        <v>471</v>
      </c>
      <c r="D89" s="55">
        <f>'Debt Schedule'!U120</f>
        <v>7.567657893601394</v>
      </c>
      <c r="E89" s="22">
        <v>7.567657893601394</v>
      </c>
      <c r="F89" s="22">
        <v>7.535629806960229</v>
      </c>
      <c r="G89" s="22">
        <v>8.221612345210659</v>
      </c>
      <c r="H89" s="22">
        <v>7.688924440414201</v>
      </c>
      <c r="I89" s="22">
        <v>7.448439482043902</v>
      </c>
      <c r="J89" s="22">
        <v>7.812110392650169</v>
      </c>
    </row>
    <row r="90">
      <c r="B90" t="s" s="9">
        <v>362</v>
      </c>
      <c r="D90" s="55">
        <f>MAX('Debt Schedule'!T120:Y120)</f>
        <v>8.516972604645394</v>
      </c>
      <c r="E90" s="22">
        <v>8.516972604645394</v>
      </c>
      <c r="F90" s="22">
        <v>8.505357904709191</v>
      </c>
      <c r="G90" s="22">
        <v>8.516972604645394</v>
      </c>
      <c r="H90" s="22">
        <v>8.561749097650074</v>
      </c>
      <c r="I90" s="22">
        <v>8.472664351399303</v>
      </c>
      <c r="J90" s="22">
        <v>8.606763500843499</v>
      </c>
    </row>
    <row r="91">
      <c r="B91" t="s" s="9">
        <v>472</v>
      </c>
      <c r="D91" s="55">
        <f>MIN('Credit Stats'!D118:I118)</f>
        <v>1.729027791609942</v>
      </c>
      <c r="E91" s="22">
        <v>1.729027791609942</v>
      </c>
      <c r="F91" s="22">
        <v>1.3656760717312324</v>
      </c>
      <c r="G91" s="22">
        <v>1.5895818140375426</v>
      </c>
      <c r="H91" s="22">
        <v>1.5084609018260862</v>
      </c>
      <c r="I91" s="22">
        <v>2.0697106587390808</v>
      </c>
      <c r="J91" s="22">
        <v>1.3318130001094592</v>
      </c>
    </row>
    <row r="92">
      <c r="B92" t="s" s="9">
        <v>473</v>
      </c>
      <c r="D92" s="55">
        <f>MIN('Credit Stats'!D119:I119)</f>
        <v>1.3250850023271152</v>
      </c>
      <c r="E92" s="22">
        <v>1.3250850023271152</v>
      </c>
      <c r="F92" s="22">
        <v>1.3656760717312324</v>
      </c>
      <c r="G92" s="22">
        <v>1.3250850023271152</v>
      </c>
      <c r="H92" s="22">
        <v>1.1854849514462553</v>
      </c>
      <c r="I92" s="22">
        <v>1.4992138692166896</v>
      </c>
      <c r="J92" s="22">
        <v>1.0719674095858256</v>
      </c>
    </row>
    <row r="93">
      <c r="B93" t="s" s="9">
        <v>474</v>
      </c>
      <c r="D93" s="55">
        <f>MIN('Credit Stats'!D123:I123)</f>
        <v>1.613223127351013</v>
      </c>
      <c r="E93" s="22">
        <v>1.613223127351013</v>
      </c>
      <c r="F93" s="22">
        <v>1.2739834543986222</v>
      </c>
      <c r="G93" s="22">
        <v>1.4923306039345023</v>
      </c>
      <c r="H93" s="22">
        <v>1.4074290912725753</v>
      </c>
      <c r="I93" s="22">
        <v>1.9310881628419894</v>
      </c>
      <c r="J93" s="22">
        <v>1.242612492123555</v>
      </c>
    </row>
    <row r="94">
      <c r="B94" t="s" s="9">
        <v>366</v>
      </c>
      <c r="D94" s="15">
        <f>SUM('Debt Schedule'!T101:X101)</f>
        <v>1006.5499618737825</v>
      </c>
      <c r="E94" s="11">
        <v>1006.5499618737825</v>
      </c>
      <c r="F94" s="11">
        <v>1124.511753827804</v>
      </c>
      <c r="G94" s="11">
        <v>1163.846871064184</v>
      </c>
      <c r="H94" s="11">
        <v>1164.0751299394947</v>
      </c>
      <c r="I94" s="11">
        <v>849.9046069349289</v>
      </c>
      <c r="J94" s="11">
        <v>1328.6409330412998</v>
      </c>
    </row>
    <row r="95">
      <c r="B95" t="s" s="9">
        <v>367</v>
      </c>
      <c r="D95" s="15">
        <f>SUM('Debt Schedule'!T102:X102)</f>
        <v>138.53698321941772</v>
      </c>
      <c r="E95" s="11">
        <v>138.53698321941772</v>
      </c>
      <c r="F95" s="11">
        <v>0</v>
      </c>
      <c r="G95" s="11">
        <v>151.02492978371322</v>
      </c>
      <c r="H95" s="11">
        <v>138.53698321941746</v>
      </c>
      <c r="I95" s="11">
        <v>135.62626005867295</v>
      </c>
      <c r="J95" s="11">
        <v>138.53698321941738</v>
      </c>
    </row>
    <row r="96">
      <c r="B96" t="s" s="9">
        <v>475</v>
      </c>
      <c r="D96" s="15">
        <f>MIN('Credit Stats'!D109:I109)</f>
        <v>75</v>
      </c>
      <c r="E96" s="11">
        <v>75</v>
      </c>
      <c r="F96" s="11">
        <v>75</v>
      </c>
      <c r="G96" s="11">
        <v>74.99999999999994</v>
      </c>
      <c r="H96" s="11">
        <v>74.99999041182735</v>
      </c>
      <c r="I96" s="11">
        <v>75</v>
      </c>
      <c r="J96" s="11">
        <v>74.9999999999941</v>
      </c>
    </row>
    <row r="97">
      <c r="B97" t="s" s="9">
        <v>370</v>
      </c>
      <c r="D97" s="15">
        <f>MAX('Credit Stats'!D128:I128)</f>
        <v>6.977845296153275</v>
      </c>
      <c r="E97" s="11">
        <v>6.977845296153275</v>
      </c>
      <c r="F97" s="11">
        <v>127.51685553476301</v>
      </c>
      <c r="G97" s="11">
        <v>38.82336228344869</v>
      </c>
      <c r="H97" s="11">
        <v>109.98723640744055</v>
      </c>
      <c r="I97" s="11">
        <v>0</v>
      </c>
      <c r="J97" s="11">
        <v>289.34556737229417</v>
      </c>
    </row>
    <row r="98">
      <c r="B98" t="s" s="9">
        <v>476</v>
      </c>
      <c r="D98" s="27">
        <f>COUNTIF('Credit Stats'!D134:I134,"No")</f>
        <v>2</v>
      </c>
      <c r="E98" s="16">
        <v>2</v>
      </c>
      <c r="F98" s="16">
        <v>2</v>
      </c>
      <c r="G98" s="16">
        <v>3</v>
      </c>
      <c r="H98" s="16">
        <v>2</v>
      </c>
      <c r="I98" s="16">
        <v>1</v>
      </c>
      <c r="J98" s="16">
        <v>2</v>
      </c>
    </row>
    <row r="99">
      <c r="B99" t="s" s="9">
        <v>477</v>
      </c>
      <c r="D99" s="27">
        <f>COUNTIF('Credit Stats'!D139:F139,"No")</f>
        <v>1</v>
      </c>
      <c r="E99" s="16">
        <v>1</v>
      </c>
      <c r="F99" s="16">
        <v>1</v>
      </c>
      <c r="G99" s="16">
        <v>2</v>
      </c>
      <c r="H99" s="16">
        <v>1</v>
      </c>
      <c r="I99" s="16">
        <v>1</v>
      </c>
      <c r="J99" s="16">
        <v>1</v>
      </c>
    </row>
    <row r="100">
      <c r="B100" t="s" s="9">
        <v>478</v>
      </c>
      <c r="D100" s="27">
        <f>COUNTIF('Credit Stats'!D144:I144,"Tested")</f>
        <v>0</v>
      </c>
      <c r="E100" s="16">
        <v>0</v>
      </c>
      <c r="F100" s="16">
        <v>0</v>
      </c>
      <c r="G100" s="16">
        <v>0</v>
      </c>
      <c r="H100" s="16">
        <v>0</v>
      </c>
      <c r="I100" s="16">
        <v>0</v>
      </c>
      <c r="J100" s="16">
        <v>0</v>
      </c>
    </row>
    <row r="101">
      <c r="B101" t="s" s="9">
        <v>479</v>
      </c>
      <c r="D101" s="29">
        <f>MIN('Credit Stats'!D149:I149)</f>
        <v>0.4322018263569737</v>
      </c>
      <c r="E101" s="25">
        <v>0.4322018263569737</v>
      </c>
      <c r="F101" s="25">
        <v>0.432976139686054</v>
      </c>
      <c r="G101" s="25">
        <v>0.4322018263569737</v>
      </c>
      <c r="H101" s="25">
        <v>0.42921672682332845</v>
      </c>
      <c r="I101" s="25">
        <v>0.43515570990671315</v>
      </c>
      <c r="J101" s="25">
        <v>0.42621576661043337</v>
      </c>
    </row>
    <row r="102">
      <c r="B102" t="s" s="9">
        <v>480</v>
      </c>
      <c r="D102" s="55">
        <f>'Debt Schedule'!X132</f>
        <v>1.957944259723606</v>
      </c>
      <c r="E102" s="22">
        <v>1.957944259723606</v>
      </c>
      <c r="F102" s="22">
        <v>1.9615306422986525</v>
      </c>
      <c r="G102" s="22">
        <v>1.9856394997755475</v>
      </c>
      <c r="H102" s="22">
        <v>1.931077264272058</v>
      </c>
      <c r="I102" s="22">
        <v>1.9851951318382601</v>
      </c>
      <c r="J102" s="22">
        <v>1.90298304295685</v>
      </c>
    </row>
    <row r="103">
      <c r="B103" t="s" s="63">
        <v>481</v>
      </c>
      <c r="C103" s="1"/>
      <c r="D103" s="83">
        <f>'Debt Schedule'!X133</f>
        <v>0.16024516849324</v>
      </c>
      <c r="E103" s="52">
        <v>0.16024516849324</v>
      </c>
      <c r="F103" s="52">
        <v>0.1607149603054132</v>
      </c>
      <c r="G103" s="52">
        <v>0.163855813317626</v>
      </c>
      <c r="H103" s="52">
        <v>0.15670429176943923</v>
      </c>
      <c r="I103" s="52">
        <v>0.16379819132647677</v>
      </c>
      <c r="J103" s="52">
        <v>0.15296039980832798</v>
      </c>
    </row>
    <row r="104">
      <c r="B104" t="s" s="9">
        <v>482</v>
      </c>
      <c r="D104" s="55">
        <f>'Debt Schedule'!X168</f>
        <v>1.8013020465740552</v>
      </c>
      <c r="E104" s="22">
        <v>1.8013020465740552</v>
      </c>
      <c r="F104" s="22">
        <v>1.8048884291491016</v>
      </c>
      <c r="G104" s="22">
        <v>1.8289972866259967</v>
      </c>
      <c r="H104" s="22">
        <v>1.774435051122507</v>
      </c>
      <c r="I104" s="22">
        <v>1.828552918688709</v>
      </c>
      <c r="J104" s="22">
        <v>1.746340829807299</v>
      </c>
    </row>
    <row r="105">
      <c r="B105" t="s" s="63">
        <v>483</v>
      </c>
      <c r="C105" s="1"/>
      <c r="D105" s="83">
        <f>'Debt Schedule'!X169</f>
        <v>0.13903964754458564</v>
      </c>
      <c r="E105" s="52">
        <v>0.13903964754458564</v>
      </c>
      <c r="F105" s="52">
        <v>0.13954092872600454</v>
      </c>
      <c r="G105" s="52">
        <v>0.14289072292819505</v>
      </c>
      <c r="H105" s="52">
        <v>0.13525942133948488</v>
      </c>
      <c r="I105" s="52">
        <v>0.14282929238254538</v>
      </c>
      <c r="J105" s="52">
        <v>0.13125854183955776</v>
      </c>
    </row>
    <row r="107">
      <c r="B107" t="s" s="34">
        <v>485</v>
      </c>
      <c r="C107" s="34"/>
      <c r="D107" s="34"/>
      <c r="E107" s="34"/>
      <c r="F107" s="34"/>
      <c r="G107" s="34"/>
      <c r="H107" s="34"/>
      <c r="I107" s="34"/>
    </row>
    <row r="108">
      <c r="B108" t="s" s="4">
        <v>486</v>
      </c>
      <c r="C108" t="s" s="5">
        <v>497</v>
      </c>
      <c r="D108" s="39">
        <f>'Debt Schedule'!T6</f>
        <v>46387</v>
      </c>
      <c r="E108" s="39">
        <f>'Debt Schedule'!U6</f>
        <v>46752</v>
      </c>
      <c r="F108" s="39">
        <f>'Debt Schedule'!V6</f>
        <v>47118</v>
      </c>
      <c r="G108" s="39">
        <f>'Debt Schedule'!W6</f>
        <v>47483</v>
      </c>
      <c r="H108" s="39">
        <f>'Debt Schedule'!X6</f>
        <v>47848</v>
      </c>
      <c r="I108" s="39">
        <f>'Debt Schedule'!Y6</f>
        <v>48213</v>
      </c>
    </row>
    <row r="109">
      <c r="B109" t="s" s="81">
        <v>324</v>
      </c>
      <c r="C109" s="84"/>
      <c r="D109" s="85">
        <f>'Credit Stats'!D108</f>
        <v>2742.1576046977593</v>
      </c>
      <c r="E109" s="85">
        <f>'Credit Stats'!E108</f>
        <v>2805.6897984413745</v>
      </c>
      <c r="F109" s="85">
        <f>'Credit Stats'!F108</f>
        <v>2844.311276689116</v>
      </c>
      <c r="G109" s="85">
        <f>'Credit Stats'!G108</f>
        <v>2834.4680812631236</v>
      </c>
      <c r="H109" s="85">
        <f>'Credit Stats'!H108</f>
        <v>2793.8508749997773</v>
      </c>
      <c r="I109" s="85">
        <f>'Credit Stats'!I108</f>
        <v>2721.140586481432</v>
      </c>
    </row>
    <row r="110">
      <c r="B110" t="s" s="9">
        <v>487</v>
      </c>
      <c r="C110" s="18">
        <v>1</v>
      </c>
      <c r="D110" s="11">
        <f t="dataTable" ref="D110:I112" r1="C6"/>
        <v>2742.1576046977593</v>
      </c>
      <c r="E110" s="11">
        <v>2805.6897984413745</v>
      </c>
      <c r="F110" s="11">
        <v>2844.311276689116</v>
      </c>
      <c r="G110" s="11">
        <v>2834.4680812631236</v>
      </c>
      <c r="H110" s="11">
        <v>2793.850874999777</v>
      </c>
      <c r="I110" s="11">
        <v>2721.140586481427</v>
      </c>
    </row>
    <row r="111">
      <c r="B111" t="s" s="9">
        <v>488</v>
      </c>
      <c r="C111" s="18">
        <v>2</v>
      </c>
      <c r="D111" s="11">
        <v>2738.520369180032</v>
      </c>
      <c r="E111" s="11">
        <v>2794.132884706073</v>
      </c>
      <c r="F111" s="11">
        <v>2827.51685553476</v>
      </c>
      <c r="G111" s="11">
        <v>2815.8286745263913</v>
      </c>
      <c r="H111" s="11">
        <v>2773.2756834534553</v>
      </c>
      <c r="I111" s="11">
        <v>2698.607692091093</v>
      </c>
    </row>
    <row r="112">
      <c r="B112" t="s" s="9">
        <v>489</v>
      </c>
      <c r="C112" s="18">
        <v>6</v>
      </c>
      <c r="D112" s="11">
        <v>2770.276336874587</v>
      </c>
      <c r="E112" s="11">
        <v>2893.8972669529194</v>
      </c>
      <c r="F112" s="11">
        <v>3000.4681605684386</v>
      </c>
      <c r="G112" s="11">
        <v>3066.4326388247646</v>
      </c>
      <c r="H112" s="11">
        <v>3109.1651336426194</v>
      </c>
      <c r="I112" s="11">
        <v>3127.8825456038553</v>
      </c>
    </row>
    <row r="113">
      <c r="B113" t="s" s="81">
        <v>393</v>
      </c>
      <c r="C113" s="84"/>
      <c r="D113" s="85">
        <f>'Credit Stats'!D110</f>
        <v>2667.1576046977593</v>
      </c>
      <c r="E113" s="85">
        <f>'Credit Stats'!E110</f>
        <v>2730.6897984413745</v>
      </c>
      <c r="F113" s="85">
        <f>'Credit Stats'!F110</f>
        <v>2769.311276689116</v>
      </c>
      <c r="G113" s="85">
        <f>'Credit Stats'!G110</f>
        <v>2759.4680812631236</v>
      </c>
      <c r="H113" s="85">
        <f>'Credit Stats'!H110</f>
        <v>2718.8508749997773</v>
      </c>
      <c r="I113" s="85">
        <f>'Credit Stats'!I110</f>
        <v>2646.140586481432</v>
      </c>
    </row>
    <row r="114">
      <c r="B114" t="s" s="9">
        <v>487</v>
      </c>
      <c r="C114" s="18">
        <v>1</v>
      </c>
      <c r="D114" s="11">
        <f t="dataTable" ref="D114:I116" r1="C6"/>
        <v>2667.1576046977593</v>
      </c>
      <c r="E114" s="11">
        <v>2730.6897984413745</v>
      </c>
      <c r="F114" s="11">
        <v>2769.311276689116</v>
      </c>
      <c r="G114" s="11">
        <v>2759.4680812631236</v>
      </c>
      <c r="H114" s="11">
        <v>2718.850874999777</v>
      </c>
      <c r="I114" s="11">
        <v>2646.140586481427</v>
      </c>
    </row>
    <row r="115">
      <c r="B115" t="s" s="9">
        <v>488</v>
      </c>
      <c r="C115" s="18">
        <v>2</v>
      </c>
      <c r="D115" s="11">
        <v>2663.520369180032</v>
      </c>
      <c r="E115" s="11">
        <v>2719.132884706073</v>
      </c>
      <c r="F115" s="11">
        <v>2752.51685553476</v>
      </c>
      <c r="G115" s="11">
        <v>2740.8286745263913</v>
      </c>
      <c r="H115" s="11">
        <v>2698.2756834534553</v>
      </c>
      <c r="I115" s="11">
        <v>2623.607692091093</v>
      </c>
    </row>
    <row r="116">
      <c r="B116" t="s" s="9">
        <v>489</v>
      </c>
      <c r="C116" s="18">
        <v>6</v>
      </c>
      <c r="D116" s="11">
        <v>2695.276336874587</v>
      </c>
      <c r="E116" s="11">
        <v>2818.8972669529194</v>
      </c>
      <c r="F116" s="11">
        <v>2925.468160568448</v>
      </c>
      <c r="G116" s="11">
        <v>2991.432638825432</v>
      </c>
      <c r="H116" s="11">
        <v>3034.1651336426194</v>
      </c>
      <c r="I116" s="11">
        <v>3052.8825456038553</v>
      </c>
    </row>
    <row r="117">
      <c r="B117" t="s" s="81">
        <v>298</v>
      </c>
      <c r="C117" s="84"/>
      <c r="D117" s="86">
        <f>'Credit Stats'!D112</f>
        <v>8.756468367559185</v>
      </c>
      <c r="E117" s="86">
        <f>'Credit Stats'!E112</f>
        <v>7.775508064772087</v>
      </c>
      <c r="F117" s="86">
        <f>'Credit Stats'!F112</f>
        <v>7.064618553754401</v>
      </c>
      <c r="G117" s="86">
        <f>'Credit Stats'!G112</f>
        <v>6.369707159459264</v>
      </c>
      <c r="H117" s="86">
        <f>'Credit Stats'!H112</f>
        <v>5.784038801067313</v>
      </c>
      <c r="I117" s="86">
        <f>'Credit Stats'!I112</f>
        <v>5.220324071868854</v>
      </c>
    </row>
    <row r="118">
      <c r="B118" t="s" s="9">
        <v>487</v>
      </c>
      <c r="C118" s="18">
        <v>1</v>
      </c>
      <c r="D118" s="22">
        <f t="dataTable" ref="D118:I120" r1="C6"/>
        <v>8.756468367559185</v>
      </c>
      <c r="E118" s="22">
        <v>7.775508064772087</v>
      </c>
      <c r="F118" s="22">
        <v>7.064618553754401</v>
      </c>
      <c r="G118" s="22">
        <v>6.369707159459264</v>
      </c>
      <c r="H118" s="22">
        <v>5.784038801067312</v>
      </c>
      <c r="I118" s="22">
        <v>5.220324071868844</v>
      </c>
    </row>
    <row r="119">
      <c r="B119" t="s" s="9">
        <v>488</v>
      </c>
      <c r="C119" s="18">
        <v>2</v>
      </c>
      <c r="D119" s="22">
        <v>8.744853667622982</v>
      </c>
      <c r="E119" s="22">
        <v>7.743479978130923</v>
      </c>
      <c r="F119" s="22">
        <v>7.022905053456805</v>
      </c>
      <c r="G119" s="22">
        <v>6.3278200895981245</v>
      </c>
      <c r="H119" s="22">
        <v>5.741442502421513</v>
      </c>
      <c r="I119" s="22">
        <v>5.177096238812693</v>
      </c>
    </row>
    <row r="120">
      <c r="B120" t="s" s="9">
        <v>489</v>
      </c>
      <c r="C120" s="18">
        <v>6</v>
      </c>
      <c r="D120" s="22">
        <v>8.846259263757288</v>
      </c>
      <c r="E120" s="22">
        <v>8.019960563820861</v>
      </c>
      <c r="F120" s="22">
        <v>7.452476531252029</v>
      </c>
      <c r="G120" s="22">
        <v>6.890985318422601</v>
      </c>
      <c r="H120" s="22">
        <v>6.436825935427202</v>
      </c>
      <c r="I120" s="22">
        <v>6.000630995661956</v>
      </c>
    </row>
    <row r="121">
      <c r="B121" t="s" s="81">
        <v>350</v>
      </c>
      <c r="C121" s="84"/>
      <c r="D121" s="86">
        <f>'Credit Stats'!D114</f>
        <v>8.516972604645394</v>
      </c>
      <c r="E121" s="86">
        <f>'Credit Stats'!E114</f>
        <v>7.567657893601394</v>
      </c>
      <c r="F121" s="86">
        <f>'Credit Stats'!F114</f>
        <v>6.878335710567019</v>
      </c>
      <c r="G121" s="86">
        <f>'Credit Stats'!G114</f>
        <v>6.2011647651675785</v>
      </c>
      <c r="H121" s="86">
        <f>'Credit Stats'!H114</f>
        <v>5.628768198057736</v>
      </c>
      <c r="I121" s="86">
        <f>'Credit Stats'!I114</f>
        <v>5.076441647221172</v>
      </c>
    </row>
    <row r="122">
      <c r="B122" t="s" s="9">
        <v>487</v>
      </c>
      <c r="C122" s="18">
        <v>1</v>
      </c>
      <c r="D122" s="22">
        <f t="dataTable" ref="D122:I124" r1="C6"/>
        <v>8.516972604645394</v>
      </c>
      <c r="E122" s="22">
        <v>7.567657893601394</v>
      </c>
      <c r="F122" s="22">
        <v>6.878335710567019</v>
      </c>
      <c r="G122" s="22">
        <v>6.2011647651675785</v>
      </c>
      <c r="H122" s="22">
        <v>5.6287681980577355</v>
      </c>
      <c r="I122" s="22">
        <v>5.076441647221162</v>
      </c>
    </row>
    <row r="123">
      <c r="B123" t="s" s="9">
        <v>488</v>
      </c>
      <c r="C123" s="18">
        <v>2</v>
      </c>
      <c r="D123" s="22">
        <v>8.505357904709191</v>
      </c>
      <c r="E123" s="22">
        <v>7.535629806960229</v>
      </c>
      <c r="F123" s="22">
        <v>6.836622210269423</v>
      </c>
      <c r="G123" s="22">
        <v>6.159277695306439</v>
      </c>
      <c r="H123" s="22">
        <v>5.586171899411937</v>
      </c>
      <c r="I123" s="22">
        <v>5.033213814165011</v>
      </c>
    </row>
    <row r="124">
      <c r="B124" t="s" s="9">
        <v>489</v>
      </c>
      <c r="C124" s="18">
        <v>6</v>
      </c>
      <c r="D124" s="22">
        <v>8.606763500843499</v>
      </c>
      <c r="E124" s="22">
        <v>7.812110392650169</v>
      </c>
      <c r="F124" s="22">
        <v>7.2661936880646705</v>
      </c>
      <c r="G124" s="22">
        <v>6.722442924132417</v>
      </c>
      <c r="H124" s="22">
        <v>6.281555332417626</v>
      </c>
      <c r="I124" s="22">
        <v>5.856748571014274</v>
      </c>
    </row>
    <row r="125">
      <c r="B125" t="s" s="81">
        <v>335</v>
      </c>
      <c r="C125" s="84"/>
      <c r="D125" s="86">
        <f>'Credit Stats'!D118</f>
        <v>1.8597103451457002</v>
      </c>
      <c r="E125" s="86">
        <f>'Credit Stats'!E118</f>
        <v>1.8707735263331127</v>
      </c>
      <c r="F125" s="86">
        <f>'Credit Stats'!F118</f>
        <v>1.729027791609942</v>
      </c>
      <c r="G125" s="86">
        <f>'Credit Stats'!G118</f>
        <v>1.7878488224141036</v>
      </c>
      <c r="H125" s="86">
        <f>'Credit Stats'!H118</f>
        <v>1.9737863192041782</v>
      </c>
      <c r="I125" s="86">
        <f>'Credit Stats'!I118</f>
        <v>2.175976665185363</v>
      </c>
    </row>
    <row r="126">
      <c r="B126" t="s" s="9">
        <v>487</v>
      </c>
      <c r="C126" s="18">
        <v>1</v>
      </c>
      <c r="D126" s="22">
        <f t="dataTable" ref="D126:I128" r1="C6"/>
        <v>1.8597103451457002</v>
      </c>
      <c r="E126" s="22">
        <v>1.8707735263331127</v>
      </c>
      <c r="F126" s="22">
        <v>1.729027791609942</v>
      </c>
      <c r="G126" s="22">
        <v>1.7878488224141036</v>
      </c>
      <c r="H126" s="22">
        <v>1.9737863192041787</v>
      </c>
      <c r="I126" s="22">
        <v>2.1759766651853667</v>
      </c>
    </row>
    <row r="127">
      <c r="B127" t="s" s="9">
        <v>488</v>
      </c>
      <c r="C127" s="18">
        <v>2</v>
      </c>
      <c r="D127" s="22">
        <v>1.3656760717312324</v>
      </c>
      <c r="E127" s="22">
        <v>1.419463636399688</v>
      </c>
      <c r="F127" s="22">
        <v>1.538277534116811</v>
      </c>
      <c r="G127" s="22">
        <v>1.801200434546876</v>
      </c>
      <c r="H127" s="22">
        <v>1.9895237653621651</v>
      </c>
      <c r="I127" s="22">
        <v>2.193906087680075</v>
      </c>
    </row>
    <row r="128">
      <c r="B128" t="s" s="9">
        <v>489</v>
      </c>
      <c r="C128" s="18">
        <v>6</v>
      </c>
      <c r="D128" s="22">
        <v>1.3968162852393415</v>
      </c>
      <c r="E128" s="22">
        <v>1.4179945970879702</v>
      </c>
      <c r="F128" s="22">
        <v>1.3318130001094586</v>
      </c>
      <c r="G128" s="22">
        <v>1.3641454117098035</v>
      </c>
      <c r="H128" s="22">
        <v>1.4656252702736166</v>
      </c>
      <c r="I128" s="22">
        <v>1.5677931289700986</v>
      </c>
    </row>
    <row r="129">
      <c r="B129" t="s" s="81">
        <v>336</v>
      </c>
      <c r="C129" s="84"/>
      <c r="D129" s="86">
        <f>'Credit Stats'!D119</f>
        <v>1.3250850023271152</v>
      </c>
      <c r="E129" s="86">
        <f>'Credit Stats'!E119</f>
        <v>1.376577052302489</v>
      </c>
      <c r="F129" s="86">
        <f>'Credit Stats'!F119</f>
        <v>1.5080988191725435</v>
      </c>
      <c r="G129" s="86">
        <f>'Credit Stats'!G119</f>
        <v>1.7878488224141036</v>
      </c>
      <c r="H129" s="86">
        <f>'Credit Stats'!H119</f>
        <v>1.9737863192041782</v>
      </c>
      <c r="I129" s="86">
        <f>'Credit Stats'!I119</f>
        <v>2.175976665185363</v>
      </c>
    </row>
    <row r="130">
      <c r="B130" t="s" s="9">
        <v>487</v>
      </c>
      <c r="C130" s="18">
        <v>1</v>
      </c>
      <c r="D130" s="22">
        <f t="dataTable" ref="D130:I132" r1="C6"/>
        <v>1.3250850023271152</v>
      </c>
      <c r="E130" s="22">
        <v>1.376577052302489</v>
      </c>
      <c r="F130" s="22">
        <v>1.5080988191725435</v>
      </c>
      <c r="G130" s="22">
        <v>1.7878488224141036</v>
      </c>
      <c r="H130" s="22">
        <v>1.9737863192041787</v>
      </c>
      <c r="I130" s="22">
        <v>2.1759766651853667</v>
      </c>
    </row>
    <row r="131">
      <c r="B131" t="s" s="9">
        <v>488</v>
      </c>
      <c r="C131" s="18">
        <v>2</v>
      </c>
      <c r="D131" s="22">
        <v>1.3656760717312324</v>
      </c>
      <c r="E131" s="22">
        <v>1.419463636399688</v>
      </c>
      <c r="F131" s="22">
        <v>1.538277534116811</v>
      </c>
      <c r="G131" s="22">
        <v>1.801200434546876</v>
      </c>
      <c r="H131" s="22">
        <v>1.9895237653621651</v>
      </c>
      <c r="I131" s="22">
        <v>2.193906087680075</v>
      </c>
    </row>
    <row r="132">
      <c r="B132" t="s" s="9">
        <v>489</v>
      </c>
      <c r="C132" s="18">
        <v>6</v>
      </c>
      <c r="D132" s="22">
        <v>1.0719674095858256</v>
      </c>
      <c r="E132" s="22">
        <v>1.1146748528797163</v>
      </c>
      <c r="F132" s="22">
        <v>1.1967692274377006</v>
      </c>
      <c r="G132" s="22">
        <v>1.3641454117098035</v>
      </c>
      <c r="H132" s="22">
        <v>1.4656252702736166</v>
      </c>
      <c r="I132" s="22">
        <v>1.5677931289700986</v>
      </c>
    </row>
    <row r="133">
      <c r="B133" t="s" s="81">
        <v>459</v>
      </c>
      <c r="C133" s="84"/>
      <c r="D133" s="85">
        <f>'Credit Stats'!D128</f>
        <v>6.977845296153275</v>
      </c>
      <c r="E133" s="85">
        <f>'Credit Stats'!E128</f>
        <v>1.2649818397277128</v>
      </c>
      <c r="F133" s="85">
        <f>'Credit Stats'!F128</f>
        <v>5.774293469698132</v>
      </c>
      <c r="G133" s="85">
        <f>'Credit Stats'!G128</f>
        <v>0</v>
      </c>
      <c r="H133" s="85">
        <f>'Credit Stats'!H128</f>
        <v>0</v>
      </c>
      <c r="I133" s="85">
        <f>'Credit Stats'!I128</f>
        <v>0</v>
      </c>
    </row>
    <row r="134">
      <c r="B134" t="s" s="9">
        <v>487</v>
      </c>
      <c r="C134" s="18">
        <v>1</v>
      </c>
      <c r="D134" s="11">
        <f t="dataTable" ref="D134:I136" r1="C6"/>
        <v>6.977845296153275</v>
      </c>
      <c r="E134" s="11">
        <v>1.2649818397277128</v>
      </c>
      <c r="F134" s="11">
        <v>5.774293469698132</v>
      </c>
      <c r="G134" s="11">
        <v>0</v>
      </c>
      <c r="H134" s="11">
        <v>0</v>
      </c>
      <c r="I134" s="11">
        <v>0</v>
      </c>
    </row>
    <row r="135">
      <c r="B135" t="s" s="9">
        <v>488</v>
      </c>
      <c r="C135" s="18">
        <v>2</v>
      </c>
      <c r="D135" s="11">
        <v>38.520369180032034</v>
      </c>
      <c r="E135" s="11">
        <v>94.13288470607336</v>
      </c>
      <c r="F135" s="11">
        <v>127.51685553476301</v>
      </c>
      <c r="G135" s="11">
        <v>115.82867453055081</v>
      </c>
      <c r="H135" s="11">
        <v>73.2756838530735</v>
      </c>
      <c r="I135" s="11">
        <v>0</v>
      </c>
    </row>
    <row r="136">
      <c r="B136" t="s" s="9">
        <v>489</v>
      </c>
      <c r="C136" s="18">
        <v>6</v>
      </c>
      <c r="D136" s="11">
        <v>35.09657747298065</v>
      </c>
      <c r="E136" s="11">
        <v>89.4724503512726</v>
      </c>
      <c r="F136" s="11">
        <v>161.93117734902063</v>
      </c>
      <c r="G136" s="11">
        <v>227.89565560534902</v>
      </c>
      <c r="H136" s="11">
        <v>270.62815060484786</v>
      </c>
      <c r="I136" s="11">
        <v>289.3455655264699</v>
      </c>
    </row>
    <row r="137">
      <c r="B137" t="s" s="81">
        <v>460</v>
      </c>
      <c r="C137" s="84"/>
      <c r="D137" s="85">
        <f>'Credit Stats'!D129</f>
        <v>6.977845296153275</v>
      </c>
      <c r="E137" s="85">
        <f>'Credit Stats'!E129</f>
        <v>6.977845296153275</v>
      </c>
      <c r="F137" s="85">
        <f>'Credit Stats'!F129</f>
        <v>6.977845296153275</v>
      </c>
      <c r="G137" s="85">
        <f>'Credit Stats'!G129</f>
        <v>6.977845296153275</v>
      </c>
      <c r="H137" s="85">
        <f>'Credit Stats'!H129</f>
        <v>6.977845296153275</v>
      </c>
      <c r="I137" s="85">
        <f>'Credit Stats'!I129</f>
        <v>6.977845296153275</v>
      </c>
    </row>
    <row r="138">
      <c r="B138" t="s" s="9">
        <v>487</v>
      </c>
      <c r="C138" s="18">
        <v>1</v>
      </c>
      <c r="D138" s="11">
        <f t="dataTable" ref="D138:I140" r1="C6"/>
        <v>6.977845296153275</v>
      </c>
      <c r="E138" s="11">
        <v>6.977845296153275</v>
      </c>
      <c r="F138" s="11">
        <v>6.977845296153275</v>
      </c>
      <c r="G138" s="11">
        <v>6.977845296153275</v>
      </c>
      <c r="H138" s="11">
        <v>6.977845296153275</v>
      </c>
      <c r="I138" s="11">
        <v>6.977845296153275</v>
      </c>
    </row>
    <row r="139">
      <c r="B139" t="s" s="9">
        <v>488</v>
      </c>
      <c r="C139" s="18">
        <v>2</v>
      </c>
      <c r="D139" s="11">
        <v>38.520369180032034</v>
      </c>
      <c r="E139" s="11">
        <v>94.13288470607336</v>
      </c>
      <c r="F139" s="11">
        <v>127.51685553476301</v>
      </c>
      <c r="G139" s="11">
        <v>127.51685553476301</v>
      </c>
      <c r="H139" s="11">
        <v>127.51685553476301</v>
      </c>
      <c r="I139" s="11">
        <v>127.51685553476301</v>
      </c>
    </row>
    <row r="140">
      <c r="B140" t="s" s="9">
        <v>489</v>
      </c>
      <c r="C140" s="18">
        <v>6</v>
      </c>
      <c r="D140" s="11">
        <v>35.09657747298065</v>
      </c>
      <c r="E140" s="11">
        <v>89.4724503512726</v>
      </c>
      <c r="F140" s="11">
        <v>161.93117734902063</v>
      </c>
      <c r="G140" s="11">
        <v>227.89565560534902</v>
      </c>
      <c r="H140" s="11">
        <v>270.62815060484786</v>
      </c>
      <c r="I140" s="11">
        <v>289.3455655264699</v>
      </c>
    </row>
    <row r="141">
      <c r="B141" t="s" s="81">
        <v>461</v>
      </c>
      <c r="C141" s="84"/>
      <c r="D141" s="85">
        <f>'Credit Stats'!D130</f>
        <v>0</v>
      </c>
      <c r="E141" s="85">
        <f>'Credit Stats'!E130</f>
        <v>0</v>
      </c>
      <c r="F141" s="85">
        <f>'Credit Stats'!F130</f>
        <v>0</v>
      </c>
      <c r="G141" s="85">
        <f>'Credit Stats'!G130</f>
        <v>0</v>
      </c>
      <c r="H141" s="85">
        <f>'Credit Stats'!H130</f>
        <v>0</v>
      </c>
      <c r="I141" s="85">
        <f>'Credit Stats'!I130</f>
        <v>0</v>
      </c>
    </row>
    <row r="142">
      <c r="B142" t="s" s="9">
        <v>487</v>
      </c>
      <c r="C142" s="18">
        <v>1</v>
      </c>
      <c r="D142" s="11">
        <f t="dataTable" ref="D142:I144" r1="C6"/>
        <v>0</v>
      </c>
      <c r="E142" s="11">
        <v>0</v>
      </c>
      <c r="F142" s="11">
        <v>0</v>
      </c>
      <c r="G142" s="11">
        <v>0</v>
      </c>
      <c r="H142" s="11">
        <v>0</v>
      </c>
      <c r="I142" s="11">
        <v>0</v>
      </c>
    </row>
    <row r="143">
      <c r="B143" t="s" s="9">
        <v>488</v>
      </c>
      <c r="C143" s="18">
        <v>2</v>
      </c>
      <c r="D143" s="11">
        <v>0</v>
      </c>
      <c r="E143" s="11">
        <v>0</v>
      </c>
      <c r="F143" s="11">
        <v>0</v>
      </c>
      <c r="G143" s="11">
        <v>0</v>
      </c>
      <c r="H143" s="11">
        <v>0</v>
      </c>
      <c r="I143" s="11">
        <v>0</v>
      </c>
    </row>
    <row r="144">
      <c r="B144" t="s" s="9">
        <v>489</v>
      </c>
      <c r="C144" s="18">
        <v>6</v>
      </c>
      <c r="D144" s="11">
        <v>0</v>
      </c>
      <c r="E144" s="11">
        <v>0</v>
      </c>
      <c r="F144" s="11">
        <v>-9.492850949754938e-12</v>
      </c>
      <c r="G144" s="11">
        <v>-6.67753852212627e-10</v>
      </c>
      <c r="H144" s="11">
        <v>0</v>
      </c>
      <c r="I144" s="11">
        <v>0</v>
      </c>
    </row>
    <row r="145">
      <c r="B145" t="s" s="81">
        <v>490</v>
      </c>
      <c r="C145" s="84"/>
      <c r="D145" t="str" s="87">
        <f>'Credit Stats'!D134</f>
        <v>No</v>
      </c>
      <c r="E145" t="str" s="87">
        <f>'Credit Stats'!E134</f>
        <v>No</v>
      </c>
      <c r="F145" t="str" s="87">
        <f>'Credit Stats'!F134</f>
        <v>Yes</v>
      </c>
      <c r="G145" t="str" s="87">
        <f>'Credit Stats'!G134</f>
        <v>Yes</v>
      </c>
      <c r="H145" t="str" s="87">
        <f>'Credit Stats'!H134</f>
        <v>Yes</v>
      </c>
      <c r="I145" t="str" s="87">
        <f>'Credit Stats'!I134</f>
        <v>Yes</v>
      </c>
    </row>
    <row r="146">
      <c r="B146" t="s" s="9">
        <v>487</v>
      </c>
      <c r="C146" s="18">
        <v>1</v>
      </c>
      <c r="D146" t="str" s="51">
        <f t="dataTable" ref="D146:I148" r1="C6"/>
        <v>No</v>
      </c>
      <c r="E146" t="str" s="51">
        <v>No</v>
      </c>
      <c r="F146" t="str" s="51">
        <v>Yes</v>
      </c>
      <c r="G146" t="str" s="51">
        <v>Yes</v>
      </c>
      <c r="H146" t="str" s="51">
        <v>Yes</v>
      </c>
      <c r="I146" t="str" s="51">
        <v>Yes</v>
      </c>
    </row>
    <row r="147">
      <c r="B147" t="s" s="9">
        <v>488</v>
      </c>
      <c r="C147" s="18">
        <v>2</v>
      </c>
      <c r="D147" t="str" s="51">
        <v>No</v>
      </c>
      <c r="E147" t="str" s="51">
        <v>No</v>
      </c>
      <c r="F147" t="str" s="51">
        <v>Yes</v>
      </c>
      <c r="G147" t="str" s="51">
        <v>Yes</v>
      </c>
      <c r="H147" t="str" s="51">
        <v>Yes</v>
      </c>
      <c r="I147" t="str" s="51">
        <v>Yes</v>
      </c>
    </row>
    <row r="148">
      <c r="B148" t="s" s="9">
        <v>489</v>
      </c>
      <c r="C148" s="18">
        <v>6</v>
      </c>
      <c r="D148" t="str" s="51">
        <v>No</v>
      </c>
      <c r="E148" t="str" s="51">
        <v>No</v>
      </c>
      <c r="F148" t="str" s="51">
        <v>Yes</v>
      </c>
      <c r="G148" t="str" s="51">
        <v>Yes</v>
      </c>
      <c r="H148" t="str" s="51">
        <v>Yes</v>
      </c>
      <c r="I148" t="str" s="51">
        <v>Yes</v>
      </c>
    </row>
    <row r="149">
      <c r="B149" t="s" s="81">
        <v>491</v>
      </c>
      <c r="C149" s="84"/>
      <c r="D149" t="str" s="87">
        <f>'Credit Stats'!D137</f>
        <v>No</v>
      </c>
      <c r="E149" t="str" s="87">
        <f>'Credit Stats'!E137</f>
        <v>No</v>
      </c>
      <c r="F149" t="str" s="87">
        <f>'Credit Stats'!F137</f>
        <v>Yes</v>
      </c>
      <c r="G149" t="str" s="87">
        <f>'Credit Stats'!G137</f>
        <v>Yes</v>
      </c>
      <c r="H149" t="str" s="87">
        <f>'Credit Stats'!H137</f>
        <v>Yes</v>
      </c>
      <c r="I149" t="str" s="87">
        <f>'Credit Stats'!I137</f>
        <v>Yes</v>
      </c>
    </row>
    <row r="150">
      <c r="B150" t="s" s="9">
        <v>487</v>
      </c>
      <c r="C150" s="18">
        <v>1</v>
      </c>
      <c r="D150" t="str" s="51">
        <f t="dataTable" ref="D150:I152" r1="C6"/>
        <v>No</v>
      </c>
      <c r="E150" t="str" s="51">
        <v>No</v>
      </c>
      <c r="F150" t="str" s="51">
        <v>Yes</v>
      </c>
      <c r="G150" t="str" s="51">
        <v>Yes</v>
      </c>
      <c r="H150" t="str" s="51">
        <v>Yes</v>
      </c>
      <c r="I150" t="str" s="51">
        <v>Yes</v>
      </c>
    </row>
    <row r="151">
      <c r="B151" t="s" s="9">
        <v>488</v>
      </c>
      <c r="C151" s="18">
        <v>2</v>
      </c>
      <c r="D151" t="str" s="51">
        <v>No</v>
      </c>
      <c r="E151" t="str" s="51">
        <v>No</v>
      </c>
      <c r="F151" t="str" s="51">
        <v>Yes</v>
      </c>
      <c r="G151" t="str" s="51">
        <v>Yes</v>
      </c>
      <c r="H151" t="str" s="51">
        <v>Yes</v>
      </c>
      <c r="I151" t="str" s="51">
        <v>Yes</v>
      </c>
    </row>
    <row r="152">
      <c r="B152" t="s" s="9">
        <v>489</v>
      </c>
      <c r="C152" s="18">
        <v>6</v>
      </c>
      <c r="D152" t="str" s="51">
        <v>No</v>
      </c>
      <c r="E152" t="str" s="51">
        <v>No</v>
      </c>
      <c r="F152" t="str" s="51">
        <v>Yes</v>
      </c>
      <c r="G152" t="str" s="51">
        <v>Yes</v>
      </c>
      <c r="H152" t="str" s="51">
        <v>Yes</v>
      </c>
      <c r="I152" t="str" s="51">
        <v>Yes</v>
      </c>
    </row>
    <row r="153">
      <c r="B153" t="s" s="81">
        <v>492</v>
      </c>
      <c r="C153" s="84"/>
      <c r="D153" t="str" s="87">
        <f>'Credit Stats'!D139</f>
        <v>No</v>
      </c>
      <c r="E153" t="str" s="87">
        <f>'Credit Stats'!E139</f>
        <v>Yes</v>
      </c>
      <c r="F153" t="str" s="87">
        <f>'Credit Stats'!F139</f>
        <v>Yes</v>
      </c>
      <c r="G153" t="str" s="87">
        <f>'Credit Stats'!G139</f>
        <v>Expired</v>
      </c>
      <c r="H153" t="str" s="87">
        <f>'Credit Stats'!H139</f>
        <v>Expired</v>
      </c>
      <c r="I153" t="str" s="87">
        <f>'Credit Stats'!I139</f>
        <v>Expired</v>
      </c>
    </row>
    <row r="154">
      <c r="B154" t="s" s="9">
        <v>487</v>
      </c>
      <c r="C154" s="18">
        <v>1</v>
      </c>
      <c r="D154" t="str" s="51">
        <f t="dataTable" ref="D154:I156" r1="C6"/>
        <v>No</v>
      </c>
      <c r="E154" t="str" s="51">
        <v>Yes</v>
      </c>
      <c r="F154" t="str" s="51">
        <v>Yes</v>
      </c>
      <c r="G154" t="str" s="51">
        <v>Expired</v>
      </c>
      <c r="H154" t="str" s="51">
        <v>Expired</v>
      </c>
      <c r="I154" t="str" s="51">
        <v>Expired</v>
      </c>
    </row>
    <row r="155">
      <c r="B155" t="s" s="9">
        <v>488</v>
      </c>
      <c r="C155" s="18">
        <v>2</v>
      </c>
      <c r="D155" t="str" s="51">
        <v>No</v>
      </c>
      <c r="E155" t="str" s="51">
        <v>Yes</v>
      </c>
      <c r="F155" t="str" s="51">
        <v>Yes</v>
      </c>
      <c r="G155" t="str" s="51">
        <v>Expired</v>
      </c>
      <c r="H155" t="str" s="51">
        <v>Expired</v>
      </c>
      <c r="I155" t="str" s="51">
        <v>Expired</v>
      </c>
    </row>
    <row r="156">
      <c r="B156" t="s" s="9">
        <v>489</v>
      </c>
      <c r="C156" s="18">
        <v>6</v>
      </c>
      <c r="D156" t="str" s="51">
        <v>No</v>
      </c>
      <c r="E156" t="str" s="51">
        <v>Yes</v>
      </c>
      <c r="F156" t="str" s="51">
        <v>Yes</v>
      </c>
      <c r="G156" t="str" s="51">
        <v>Expired</v>
      </c>
      <c r="H156" t="str" s="51">
        <v>Expired</v>
      </c>
      <c r="I156" t="str" s="51">
        <v>Expired</v>
      </c>
    </row>
    <row r="157">
      <c r="B157" t="s" s="81">
        <v>493</v>
      </c>
      <c r="C157" s="84"/>
      <c r="D157" t="str" s="87">
        <f>'Credit Stats'!D144</f>
        <v>Not tested</v>
      </c>
      <c r="E157" t="str" s="87">
        <f>'Credit Stats'!E144</f>
        <v>Not tested</v>
      </c>
      <c r="F157" t="str" s="87">
        <f>'Credit Stats'!F144</f>
        <v>Not tested</v>
      </c>
      <c r="G157" t="str" s="87">
        <f>'Credit Stats'!G144</f>
        <v>Not tested</v>
      </c>
      <c r="H157" t="str" s="87">
        <f>'Credit Stats'!H144</f>
        <v>Not tested</v>
      </c>
      <c r="I157" t="str" s="87">
        <f>'Credit Stats'!I144</f>
        <v>Not tested</v>
      </c>
    </row>
    <row r="158">
      <c r="B158" t="s" s="9">
        <v>487</v>
      </c>
      <c r="C158" s="18">
        <v>1</v>
      </c>
      <c r="D158" t="str" s="51">
        <f t="dataTable" ref="D158:I160" r1="C6"/>
        <v>Not tested</v>
      </c>
      <c r="E158" t="str" s="51">
        <v>Not tested</v>
      </c>
      <c r="F158" t="str" s="51">
        <v>Not tested</v>
      </c>
      <c r="G158" t="str" s="51">
        <v>Not tested</v>
      </c>
      <c r="H158" t="str" s="51">
        <v>Not tested</v>
      </c>
      <c r="I158" t="str" s="51">
        <v>Not tested</v>
      </c>
    </row>
    <row r="159">
      <c r="B159" t="s" s="9">
        <v>488</v>
      </c>
      <c r="C159" s="18">
        <v>2</v>
      </c>
      <c r="D159" t="str" s="51">
        <v>Not tested</v>
      </c>
      <c r="E159" t="str" s="51">
        <v>Not tested</v>
      </c>
      <c r="F159" t="str" s="51">
        <v>Not tested</v>
      </c>
      <c r="G159" t="str" s="51">
        <v>Not tested</v>
      </c>
      <c r="H159" t="str" s="51">
        <v>Not tested</v>
      </c>
      <c r="I159" t="str" s="51">
        <v>Not tested</v>
      </c>
    </row>
    <row r="160">
      <c r="B160" t="s" s="9">
        <v>489</v>
      </c>
      <c r="C160" s="18">
        <v>6</v>
      </c>
      <c r="D160" t="str" s="51">
        <v>Not tested</v>
      </c>
      <c r="E160" t="str" s="51">
        <v>Not tested</v>
      </c>
      <c r="F160" t="str" s="51">
        <v>Not tested</v>
      </c>
      <c r="G160" t="str" s="51">
        <v>Not tested</v>
      </c>
      <c r="H160" t="str" s="51">
        <v>Not tested</v>
      </c>
      <c r="I160" t="str" s="51">
        <v>Not tested</v>
      </c>
    </row>
    <row r="161">
      <c r="B161" t="s" s="81">
        <v>494</v>
      </c>
      <c r="C161" s="84"/>
      <c r="D161" s="88">
        <f>'Credit Stats'!D149</f>
        <v>0.4322018263569737</v>
      </c>
      <c r="E161" s="88">
        <f>'Credit Stats'!E149</f>
        <v>0.49548947375990704</v>
      </c>
      <c r="F161" s="88">
        <f>'Credit Stats'!F149</f>
        <v>0.5414442859621987</v>
      </c>
      <c r="G161" s="88">
        <f>'Credit Stats'!G149</f>
        <v>0.5865890156554947</v>
      </c>
      <c r="H161" s="88">
        <f>'Credit Stats'!H149</f>
        <v>0.624748786796151</v>
      </c>
      <c r="I161" s="88">
        <f>'Credit Stats'!I149</f>
        <v>0.6615705568519219</v>
      </c>
    </row>
    <row r="162">
      <c r="B162" t="s" s="9">
        <v>487</v>
      </c>
      <c r="C162" s="18">
        <v>1</v>
      </c>
      <c r="D162" s="25">
        <f t="dataTable" ref="D162:I164" r1="C6"/>
        <v>0.4322018263569737</v>
      </c>
      <c r="E162" s="25">
        <v>0.49548947375990704</v>
      </c>
      <c r="F162" s="25">
        <v>0.5414442859621987</v>
      </c>
      <c r="G162" s="25">
        <v>0.5865890156554947</v>
      </c>
      <c r="H162" s="25">
        <v>0.624748786796151</v>
      </c>
      <c r="I162" s="25">
        <v>0.6615705568519226</v>
      </c>
    </row>
    <row r="163">
      <c r="B163" t="s" s="9">
        <v>488</v>
      </c>
      <c r="C163" s="18">
        <v>2</v>
      </c>
      <c r="D163" s="25">
        <v>0.432976139686054</v>
      </c>
      <c r="E163" s="25">
        <v>0.49762467953598466</v>
      </c>
      <c r="F163" s="25">
        <v>0.5442251859820384</v>
      </c>
      <c r="G163" s="25">
        <v>0.5893814869795707</v>
      </c>
      <c r="H163" s="25">
        <v>0.6275885400392042</v>
      </c>
      <c r="I163" s="25">
        <v>0.6644524123889992</v>
      </c>
    </row>
    <row r="164">
      <c r="B164" t="s" s="9">
        <v>489</v>
      </c>
      <c r="C164" s="18">
        <v>6</v>
      </c>
      <c r="D164" s="25">
        <v>0.42621576661043337</v>
      </c>
      <c r="E164" s="25">
        <v>0.4791926404899888</v>
      </c>
      <c r="F164" s="25">
        <v>0.5155870874623554</v>
      </c>
      <c r="G164" s="25">
        <v>0.5518371383911722</v>
      </c>
      <c r="H164" s="25">
        <v>0.5812296445054916</v>
      </c>
      <c r="I164" s="25">
        <v>0.6095500952657151</v>
      </c>
    </row>
    <row r="166">
      <c r="B166" t="s" s="34">
        <v>495</v>
      </c>
      <c r="C166" s="34"/>
      <c r="D166" s="34"/>
      <c r="E166" s="34"/>
      <c r="F166" s="34"/>
      <c r="G166" s="34"/>
      <c r="H166" s="34"/>
      <c r="I166" s="34"/>
    </row>
    <row r="167" ht="26" customHeight="1">
      <c r="B167" t="s" s="68">
        <v>355</v>
      </c>
      <c r="C167" t="s" s="69">
        <v>497</v>
      </c>
      <c r="D167" t="s" s="69">
        <v>530</v>
      </c>
      <c r="E167" t="s" s="69">
        <v>499</v>
      </c>
      <c r="F167" t="s" s="69">
        <v>500</v>
      </c>
      <c r="G167" t="s" s="69">
        <v>501</v>
      </c>
      <c r="H167" s="68"/>
      <c r="I167" s="68"/>
    </row>
    <row r="168">
      <c r="B168" t="s" s="3">
        <v>376</v>
      </c>
      <c r="D168" s="89">
        <f>'Debt Schedule'!X133</f>
        <v>0.16024516849324</v>
      </c>
      <c r="E168" s="90">
        <f>'Debt Schedule'!X132</f>
        <v>1.957944259723606</v>
      </c>
      <c r="F168" s="89">
        <f>'Debt Schedule'!X169</f>
        <v>0.13903964754458564</v>
      </c>
      <c r="G168" s="90">
        <f>'Debt Schedule'!X168</f>
        <v>1.8013020465740552</v>
      </c>
    </row>
    <row r="169">
      <c r="B169" t="s" s="9">
        <v>487</v>
      </c>
      <c r="C169" s="91">
        <v>1</v>
      </c>
      <c r="D169" s="24">
        <f t="dataTable" ref="D169:G171" r1="C6"/>
        <v>0.16024516849324</v>
      </c>
      <c r="E169" s="21">
        <v>1.957944259723606</v>
      </c>
      <c r="F169" s="24">
        <v>0.13903964754458564</v>
      </c>
      <c r="G169" s="21">
        <v>1.8013020465740552</v>
      </c>
    </row>
    <row r="170">
      <c r="B170" t="s" s="9">
        <v>488</v>
      </c>
      <c r="C170" s="91">
        <v>2</v>
      </c>
      <c r="D170" s="24">
        <v>0.1607149603054132</v>
      </c>
      <c r="E170" s="21">
        <v>1.9615306422986525</v>
      </c>
      <c r="F170" s="24">
        <v>0.13954092872600454</v>
      </c>
      <c r="G170" s="21">
        <v>1.8048884291491016</v>
      </c>
    </row>
    <row r="171">
      <c r="B171" t="s" s="9">
        <v>489</v>
      </c>
      <c r="C171" s="91">
        <v>6</v>
      </c>
      <c r="D171" s="24">
        <v>0.1529603998065987</v>
      </c>
      <c r="E171" s="21">
        <v>1.902983042943947</v>
      </c>
      <c r="F171" s="24">
        <v>0.1312585418377088</v>
      </c>
      <c r="G171" s="21">
        <v>1.7463408297943959</v>
      </c>
    </row>
    <row r="173">
      <c r="B173" t="s" s="34">
        <v>374</v>
      </c>
      <c r="C173" s="34"/>
      <c r="D173" s="34"/>
      <c r="E173" s="34"/>
      <c r="F173" s="34"/>
      <c r="G173" s="34"/>
      <c r="H173" s="34"/>
      <c r="I173" s="34"/>
      <c r="J173" s="34"/>
    </row>
    <row r="174">
      <c r="B174" t="s" s="4">
        <v>375</v>
      </c>
      <c r="C174" s="4"/>
      <c r="D174" s="4"/>
      <c r="E174" t="s" s="5">
        <v>377</v>
      </c>
      <c r="F174" t="s" s="5">
        <v>378</v>
      </c>
      <c r="G174" t="s" s="5">
        <v>379</v>
      </c>
      <c r="H174" t="s" s="5">
        <v>380</v>
      </c>
      <c r="I174" t="s" s="5">
        <v>381</v>
      </c>
      <c r="J174" t="s" s="5">
        <v>502</v>
      </c>
    </row>
    <row r="175">
      <c r="B175" t="s" s="81">
        <v>317</v>
      </c>
    </row>
    <row r="176">
      <c r="B176" t="s" s="9">
        <v>360</v>
      </c>
      <c r="E176" s="65">
        <f>E38-$E38</f>
        <v>0</v>
      </c>
      <c r="F176" s="65">
        <f>F38-$E38</f>
        <v>-0.033555411938491986</v>
      </c>
      <c r="G176" s="65">
        <f>G38-$E38</f>
        <v>0.6042961352310403</v>
      </c>
      <c r="H176" s="65">
        <f>H38-$E38</f>
        <v>0.2602101934787262</v>
      </c>
      <c r="I176" s="65">
        <f>I38-$E38</f>
        <v>-0.24705289712081857</v>
      </c>
      <c r="J176" s="65">
        <f>J38-$E38</f>
        <v>0.5333464637357208</v>
      </c>
    </row>
    <row r="177">
      <c r="B177" t="s" s="9">
        <v>472</v>
      </c>
      <c r="E177" s="65">
        <f>E41-$E41</f>
        <v>0</v>
      </c>
      <c r="F177" s="65">
        <f>F41-$E41</f>
        <v>-0.5286162457501471</v>
      </c>
      <c r="G177" s="65">
        <f>G41-$E41</f>
        <v>-0.08406621173739337</v>
      </c>
      <c r="H177" s="65">
        <f>H41-$E41</f>
        <v>-0.2810390123855899</v>
      </c>
      <c r="I177" s="65">
        <f>I41-$E41</f>
        <v>0.3838931631991116</v>
      </c>
      <c r="J177" s="65">
        <f>J41-$E41</f>
        <v>-0.4944780027732054</v>
      </c>
    </row>
    <row r="178">
      <c r="B178" t="s" s="9">
        <v>473</v>
      </c>
      <c r="E178" s="65">
        <f>E42-$E42</f>
        <v>0</v>
      </c>
      <c r="F178" s="65">
        <f>F42-$E42</f>
        <v>0.04440715094666858</v>
      </c>
      <c r="G178" s="65">
        <f>G42-$E42</f>
        <v>0</v>
      </c>
      <c r="H178" s="65">
        <f>H42-$E42</f>
        <v>-0.1485833315412577</v>
      </c>
      <c r="I178" s="65">
        <f>I42-$E42</f>
        <v>0.18447845379062144</v>
      </c>
      <c r="J178" s="65">
        <f>J42-$E42</f>
        <v>-0.2701140884985036</v>
      </c>
    </row>
    <row r="179">
      <c r="B179" t="s" s="9">
        <v>370</v>
      </c>
      <c r="E179" s="66">
        <f>E47-$E47</f>
        <v>0</v>
      </c>
      <c r="F179" s="66">
        <f>F47-$E47</f>
        <v>49.21783065682233</v>
      </c>
      <c r="G179" s="66">
        <f>G47-$E47</f>
        <v>0</v>
      </c>
      <c r="H179" s="66">
        <f>H47-$E47</f>
        <v>10.314618593372973</v>
      </c>
      <c r="I179" s="66">
        <f>I47-$E47</f>
        <v>0</v>
      </c>
      <c r="J179" s="66">
        <f>J47-$E47</f>
        <v>56.43238601112764</v>
      </c>
    </row>
    <row r="180">
      <c r="B180" t="s" s="9">
        <v>481</v>
      </c>
      <c r="E180" s="67">
        <f>E53-$E53</f>
        <v>0</v>
      </c>
      <c r="F180" s="67">
        <f>F53-$E53</f>
        <v>0.00038103065672800973</v>
      </c>
      <c r="G180" s="67">
        <f>G53-$E53</f>
        <v>0.00335620963672989</v>
      </c>
      <c r="H180" s="67">
        <f>H53-$E53</f>
        <v>-0.0029692147809134983</v>
      </c>
      <c r="I180" s="67">
        <f>I53-$E53</f>
        <v>0.0027955017043270747</v>
      </c>
      <c r="J180" s="67">
        <f>J53-$E53</f>
        <v>-0.006113881593831749</v>
      </c>
    </row>
    <row r="181">
      <c r="B181" t="s" s="81">
        <v>318</v>
      </c>
    </row>
    <row r="182">
      <c r="B182" t="s" s="9">
        <v>360</v>
      </c>
      <c r="E182" s="65">
        <f>E63-$E63</f>
        <v>0</v>
      </c>
      <c r="F182" s="65">
        <f>F63-$E63</f>
        <v>-0.024794812811596678</v>
      </c>
      <c r="G182" s="65">
        <f>G63-$E63</f>
        <v>0.5580035660086153</v>
      </c>
      <c r="H182" s="65">
        <f>H63-$E63</f>
        <v>0.18433323532709256</v>
      </c>
      <c r="I182" s="65">
        <f>I63-$E63</f>
        <v>-0.17493253029982414</v>
      </c>
      <c r="J182" s="65">
        <f>J63-$E63</f>
        <v>0.37857969916847534</v>
      </c>
    </row>
    <row r="183">
      <c r="B183" t="s" s="9">
        <v>472</v>
      </c>
      <c r="E183" s="65">
        <f>E66-$E66</f>
        <v>0</v>
      </c>
      <c r="F183" s="65">
        <f>F66-$E66</f>
        <v>-0.5338283835551096</v>
      </c>
      <c r="G183" s="65">
        <f>G66-$E66</f>
        <v>0</v>
      </c>
      <c r="H183" s="65">
        <f>H66-$E66</f>
        <v>-0.28282436976992154</v>
      </c>
      <c r="I183" s="65">
        <f>I66-$E66</f>
        <v>0.38838380105158166</v>
      </c>
      <c r="J183" s="65">
        <f>J66-$E66</f>
        <v>-0.49897798458276443</v>
      </c>
    </row>
    <row r="184">
      <c r="B184" t="s" s="9">
        <v>473</v>
      </c>
      <c r="E184" s="65">
        <f>E67-$E67</f>
        <v>0</v>
      </c>
      <c r="F184" s="65">
        <f>F67-$E67</f>
        <v>0.04589802533945875</v>
      </c>
      <c r="G184" s="65">
        <f>G67-$E67</f>
        <v>0</v>
      </c>
      <c r="H184" s="65">
        <f>H67-$E67</f>
        <v>-0.14949379218130132</v>
      </c>
      <c r="I184" s="65">
        <f>I67-$E67</f>
        <v>0.18663641336628478</v>
      </c>
      <c r="J184" s="65">
        <f>J67-$E67</f>
        <v>-0.2725183967727558</v>
      </c>
    </row>
    <row r="185">
      <c r="B185" t="s" s="9">
        <v>370</v>
      </c>
      <c r="E185" s="66">
        <f>E72-$E72</f>
        <v>0</v>
      </c>
      <c r="F185" s="66">
        <f>F72-$E72</f>
        <v>24.026162634561544</v>
      </c>
      <c r="G185" s="66">
        <f>G72-$E72</f>
        <v>0</v>
      </c>
      <c r="H185" s="66">
        <f>H72-$E72</f>
        <v>6.467349219847963</v>
      </c>
      <c r="I185" s="66">
        <f>I72-$E72</f>
        <v>0</v>
      </c>
      <c r="J185" s="66">
        <f>J72-$E72</f>
        <v>20.52535910314463</v>
      </c>
    </row>
    <row r="186">
      <c r="B186" t="s" s="9">
        <v>481</v>
      </c>
      <c r="E186" s="67">
        <f>E78-$E78</f>
        <v>0</v>
      </c>
      <c r="F186" s="67">
        <f>F78-$E78</f>
        <v>0.00027305668457611176</v>
      </c>
      <c r="G186" s="67">
        <f>G78-$E78</f>
        <v>0.00245271227799293</v>
      </c>
      <c r="H186" s="67">
        <f>H78-$E78</f>
        <v>-0.002036247541586489</v>
      </c>
      <c r="I186" s="67">
        <f>I78-$E78</f>
        <v>0.0019222475529570016</v>
      </c>
      <c r="J186" s="67">
        <f>J78-$E78</f>
        <v>-0.004194032331114483</v>
      </c>
    </row>
    <row r="187">
      <c r="B187" t="s" s="81">
        <v>456</v>
      </c>
    </row>
    <row r="188">
      <c r="B188" t="s" s="9">
        <v>360</v>
      </c>
      <c r="E188" s="65">
        <f>E88-$E88</f>
        <v>0</v>
      </c>
      <c r="F188" s="65">
        <f>F88-$E88</f>
        <v>-0.04259629864579839</v>
      </c>
      <c r="G188" s="65">
        <f>G88-$E88</f>
        <v>0.6132637527188249</v>
      </c>
      <c r="H188" s="65">
        <f>H88-$E88</f>
        <v>0.3191055438235342</v>
      </c>
      <c r="I188" s="65">
        <f>I88-$E88</f>
        <v>-0.3236649360921069</v>
      </c>
      <c r="J188" s="65">
        <f>J88-$E88</f>
        <v>0.6527871342066378</v>
      </c>
    </row>
    <row r="189">
      <c r="B189" t="s" s="9">
        <v>472</v>
      </c>
      <c r="E189" s="65">
        <f>E91-$E91</f>
        <v>0</v>
      </c>
      <c r="F189" s="65">
        <f>F91-$E91</f>
        <v>-0.3633517198787095</v>
      </c>
      <c r="G189" s="65">
        <f>G91-$E91</f>
        <v>-0.1394459775723993</v>
      </c>
      <c r="H189" s="65">
        <f>H91-$E91</f>
        <v>-0.22056688978385575</v>
      </c>
      <c r="I189" s="65">
        <f>I91-$E91</f>
        <v>0.34068286712913887</v>
      </c>
      <c r="J189" s="65">
        <f>J91-$E91</f>
        <v>-0.39721479150048267</v>
      </c>
    </row>
    <row r="190">
      <c r="B190" t="s" s="9">
        <v>473</v>
      </c>
      <c r="E190" s="65">
        <f>E92-$E92</f>
        <v>0</v>
      </c>
      <c r="F190" s="65">
        <f>F92-$E92</f>
        <v>0.040591069404117164</v>
      </c>
      <c r="G190" s="65">
        <f>G92-$E92</f>
        <v>0</v>
      </c>
      <c r="H190" s="65">
        <f>H92-$E92</f>
        <v>-0.13960005088085992</v>
      </c>
      <c r="I190" s="65">
        <f>I92-$E92</f>
        <v>0.1741288668895744</v>
      </c>
      <c r="J190" s="65">
        <f>J92-$E92</f>
        <v>-0.25311759274128964</v>
      </c>
    </row>
    <row r="191">
      <c r="B191" t="s" s="9">
        <v>370</v>
      </c>
      <c r="E191" s="66">
        <f>E97-$E97</f>
        <v>0</v>
      </c>
      <c r="F191" s="66">
        <f>F97-$E97</f>
        <v>120.53901023860973</v>
      </c>
      <c r="G191" s="66">
        <f>G97-$E97</f>
        <v>31.84551698729541</v>
      </c>
      <c r="H191" s="66">
        <f>H97-$E97</f>
        <v>103.00939111128727</v>
      </c>
      <c r="I191" s="66">
        <f>I97-$E97</f>
        <v>-6.977845296153275</v>
      </c>
      <c r="J191" s="66">
        <f>J97-$E97</f>
        <v>282.3677220761409</v>
      </c>
    </row>
    <row r="192">
      <c r="B192" t="s" s="9">
        <v>481</v>
      </c>
      <c r="E192" s="67">
        <f>E103-$E103</f>
        <v>0</v>
      </c>
      <c r="F192" s="67">
        <f>F103-$E103</f>
        <v>0.00046979181217321475</v>
      </c>
      <c r="G192" s="67">
        <f>G103-$E103</f>
        <v>0.003610644824386</v>
      </c>
      <c r="H192" s="67">
        <f>H103-$E103</f>
        <v>-0.0035408767238007677</v>
      </c>
      <c r="I192" s="67">
        <f>I103-$E103</f>
        <v>0.003553022833236774</v>
      </c>
      <c r="J192" s="67">
        <f>J103-$E103</f>
        <v>-0.007284768684912013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75"/>
  <sheetViews>
    <sheetView showGridLines="0" workbookViewId="0">
      <selection activeCell="A1" sqref="A1"/>
    </sheetView>
  </sheetViews>
  <cols>
    <col min="1" max="1" width="2.21875" customWidth="1"/>
    <col min="2" max="2" width="49.7890625" customWidth="1"/>
    <col min="3" max="9" width="14.07421875" customWidth="1"/>
  </cols>
  <sheetData>
    <row r="2">
      <c r="B2" t="s" s="2">
        <v>382</v>
      </c>
    </row>
    <row r="5">
      <c r="B5" t="s" s="34">
        <v>383</v>
      </c>
      <c r="C5" s="34"/>
      <c r="D5" s="34"/>
      <c r="E5" s="34"/>
      <c r="F5" s="34"/>
      <c r="G5" s="34"/>
      <c r="H5" s="34"/>
      <c r="I5" s="34"/>
    </row>
    <row r="6" ht="26" customHeight="1">
      <c r="B6" t="s" s="68">
        <v>384</v>
      </c>
      <c r="C6" t="s" s="69">
        <v>49</v>
      </c>
      <c r="D6" t="s" s="69">
        <v>408</v>
      </c>
      <c r="E6" t="s" s="69">
        <v>410</v>
      </c>
      <c r="F6" t="s" s="69">
        <v>412</v>
      </c>
      <c r="G6" t="s" s="69">
        <v>414</v>
      </c>
      <c r="H6" t="s" s="69">
        <v>418</v>
      </c>
      <c r="I6" t="s" s="69">
        <v>419</v>
      </c>
    </row>
    <row r="7">
      <c r="B7" t="s" s="9">
        <v>260</v>
      </c>
      <c r="C7" s="71">
        <f>'Term Sheet'!$C$66</f>
        <v>325</v>
      </c>
      <c r="D7" s="71">
        <f>'Term Sheet'!$C$68</f>
        <v>0</v>
      </c>
      <c r="E7" s="72">
        <f>'Term Sheet'!$C$70</f>
        <v>0.045</v>
      </c>
      <c r="F7" s="72">
        <f>'Term Sheet'!$C$19</f>
        <v>0.005</v>
      </c>
      <c r="G7" t="s" s="73">
        <v>415</v>
      </c>
      <c r="H7" s="74">
        <f>0</f>
        <v>0</v>
      </c>
      <c r="I7" s="75">
        <f>EDATE('Term Sheet'!$C$7,12*'Term Sheet'!$C$69)</f>
        <v>48755</v>
      </c>
    </row>
    <row r="8">
      <c r="B8" t="s" s="9">
        <v>267</v>
      </c>
      <c r="C8" s="71">
        <f>'Term Sheet'!$C$17</f>
        <v>2700</v>
      </c>
      <c r="D8" s="71">
        <f>'Term Sheet'!$C$17</f>
        <v>2700</v>
      </c>
      <c r="E8" s="72">
        <f>'Term Sheet'!$C$18</f>
        <v>0.045</v>
      </c>
      <c r="F8" s="72">
        <f>'Term Sheet'!$C$19</f>
        <v>0.005</v>
      </c>
      <c r="G8" t="s" s="73">
        <v>421</v>
      </c>
      <c r="H8" s="74">
        <f>'Term Sheet'!$C$36</f>
        <v>0</v>
      </c>
      <c r="I8" s="75">
        <f>'Term Sheet'!$C$35</f>
        <v>48755</v>
      </c>
    </row>
    <row r="9">
      <c r="B9" t="s" s="9">
        <v>272</v>
      </c>
      <c r="C9" s="71">
        <f>'Term Sheet'!$C$54</f>
        <v>500</v>
      </c>
      <c r="D9" s="71">
        <f>'Term Sheet'!$C$55</f>
        <v>0</v>
      </c>
      <c r="E9" s="72">
        <f>'Term Sheet'!$C$60</f>
        <v>0.045</v>
      </c>
      <c r="F9" s="72">
        <f>'Term Sheet'!$C$19</f>
        <v>0.005</v>
      </c>
      <c r="G9" t="s" s="73">
        <v>417</v>
      </c>
      <c r="H9" s="74">
        <f>'Term Sheet'!$C$36</f>
        <v>0</v>
      </c>
      <c r="I9" s="75">
        <f>'Term Sheet'!$C$35</f>
        <v>48755</v>
      </c>
    </row>
    <row r="10">
      <c r="B10" t="s" s="64">
        <v>385</v>
      </c>
      <c r="C10" s="76">
        <f>SUM(C7:C9)</f>
        <v>3525</v>
      </c>
      <c r="D10" s="76">
        <f>SUM(D7:D9)</f>
        <v>2700</v>
      </c>
      <c r="E10" s="77"/>
      <c r="F10" s="77"/>
      <c r="G10" s="77"/>
      <c r="H10" s="77"/>
      <c r="I10" s="77"/>
    </row>
    <row r="11">
      <c r="B11" t="s" s="78">
        <v>386</v>
      </c>
    </row>
    <row r="13">
      <c r="B13" t="s" s="34">
        <v>387</v>
      </c>
      <c r="C13" s="34"/>
      <c r="D13" s="34"/>
      <c r="E13" s="34"/>
      <c r="F13" s="34"/>
      <c r="G13" s="34"/>
      <c r="H13" s="34"/>
      <c r="I13" s="34"/>
    </row>
    <row r="14">
      <c r="B14" s="4"/>
      <c r="C14" s="38">
        <f>'Debt Schedule'!C6</f>
        <v>46198</v>
      </c>
      <c r="D14" s="39">
        <f>'Debt Schedule'!D6</f>
        <v>46387</v>
      </c>
      <c r="E14" s="39">
        <f>'Debt Schedule'!E6</f>
        <v>46752</v>
      </c>
      <c r="F14" s="39">
        <f>'Debt Schedule'!F6</f>
        <v>47118</v>
      </c>
      <c r="G14" s="39">
        <f>'Debt Schedule'!G6</f>
        <v>47483</v>
      </c>
      <c r="H14" s="39">
        <f>'Debt Schedule'!H6</f>
        <v>47848</v>
      </c>
      <c r="I14" s="39">
        <f>'Debt Schedule'!I6</f>
        <v>48213</v>
      </c>
    </row>
    <row r="15">
      <c r="B15" t="s" s="9">
        <v>244</v>
      </c>
      <c r="C15" s="70"/>
      <c r="D15" s="70">
        <f>'Debt Schedule'!D38</f>
        <v>89.17061440623087</v>
      </c>
      <c r="E15" s="70">
        <f>'Debt Schedule'!E38</f>
        <v>227.109547846625</v>
      </c>
      <c r="F15" s="70">
        <f>'Debt Schedule'!F38</f>
        <v>270.9251581580244</v>
      </c>
      <c r="G15" s="70">
        <f>'Debt Schedule'!G38</f>
        <v>318.2522605391023</v>
      </c>
      <c r="H15" s="70">
        <f>'Debt Schedule'!H38</f>
        <v>363.96906609455505</v>
      </c>
      <c r="I15" s="70">
        <f>'Debt Schedule'!I38</f>
        <v>412.6799229707839</v>
      </c>
    </row>
    <row r="16">
      <c r="B16" t="s" s="9">
        <v>245</v>
      </c>
      <c r="C16" s="70"/>
      <c r="D16" s="70">
        <f>'Debt Schedule'!D39</f>
        <v>-87.05266708154969</v>
      </c>
      <c r="E16" s="70">
        <f>'Debt Schedule'!E39</f>
        <v>-191.05438753749908</v>
      </c>
      <c r="F16" s="70">
        <f>'Debt Schedule'!F39</f>
        <v>-220.77962336453433</v>
      </c>
      <c r="G16" s="70">
        <f>'Debt Schedule'!G39</f>
        <v>-236.3845456435771</v>
      </c>
      <c r="H16" s="70">
        <f>'Debt Schedule'!H39</f>
        <v>-224.61186090868486</v>
      </c>
      <c r="I16" s="70">
        <f>'Debt Schedule'!I39</f>
        <v>-209.24407088217347</v>
      </c>
    </row>
    <row r="17">
      <c r="B17" t="s" s="9">
        <v>246</v>
      </c>
      <c r="C17" s="70"/>
      <c r="D17" s="70">
        <f>'Debt Schedule'!D40</f>
        <v>1.5228268975829462</v>
      </c>
      <c r="E17" s="70">
        <f>'Debt Schedule'!E40</f>
        <v>3.461060384666202</v>
      </c>
      <c r="F17" s="70">
        <f>'Debt Schedule'!F40</f>
        <v>3.4488299887704916</v>
      </c>
      <c r="G17" s="70">
        <f>'Debt Schedule'!G40</f>
        <v>3.365651149294521</v>
      </c>
      <c r="H17" s="70">
        <f>'Debt Schedule'!H40</f>
        <v>3.31290096910274</v>
      </c>
      <c r="I17" s="70">
        <f>'Debt Schedule'!I40</f>
        <v>3.3058703508082194</v>
      </c>
    </row>
    <row r="18">
      <c r="B18" t="s" s="9">
        <v>531</v>
      </c>
      <c r="C18" s="70"/>
      <c r="D18" s="70">
        <f>'Debt Schedule'!D44</f>
        <v>0</v>
      </c>
      <c r="E18" s="70">
        <f>'Debt Schedule'!E44</f>
        <v>0</v>
      </c>
      <c r="F18" s="70">
        <f>'Debt Schedule'!F44</f>
        <v>0</v>
      </c>
      <c r="G18" s="70">
        <f>'Debt Schedule'!G44</f>
        <v>0</v>
      </c>
      <c r="H18" s="70">
        <f>'Debt Schedule'!H44</f>
        <v>0</v>
      </c>
      <c r="I18" s="70">
        <f>'Debt Schedule'!I44</f>
        <v>0</v>
      </c>
    </row>
    <row r="19">
      <c r="B19" t="s" s="9">
        <v>250</v>
      </c>
      <c r="C19" s="70"/>
      <c r="D19" s="70">
        <f>'Debt Schedule'!D45</f>
        <v>0</v>
      </c>
      <c r="E19" s="70">
        <f>'Debt Schedule'!E45</f>
        <v>3.6407742222641275</v>
      </c>
      <c r="F19" s="70">
        <f>'Debt Schedule'!F45</f>
        <v>0</v>
      </c>
      <c r="G19" s="70">
        <f>'Debt Schedule'!G45</f>
        <v>0</v>
      </c>
      <c r="H19" s="70">
        <f>'Debt Schedule'!H45</f>
        <v>0</v>
      </c>
      <c r="I19" s="70">
        <f>'Debt Schedule'!I45</f>
        <v>0</v>
      </c>
    </row>
    <row r="20">
      <c r="B20" t="s" s="41">
        <v>388</v>
      </c>
      <c r="C20" s="79"/>
      <c r="D20" s="79">
        <f>'Debt Schedule'!D46</f>
        <v>3.6407742222641284</v>
      </c>
      <c r="E20" s="79">
        <f>'Debt Schedule'!E46</f>
        <v>43.15699491605624</v>
      </c>
      <c r="F20" s="79">
        <f>'Debt Schedule'!F46</f>
        <v>53.594364782260534</v>
      </c>
      <c r="G20" s="79">
        <f>'Debt Schedule'!G46</f>
        <v>85.2333660448197</v>
      </c>
      <c r="H20" s="79">
        <f>'Debt Schedule'!H46</f>
        <v>142.67010615497293</v>
      </c>
      <c r="I20" s="79">
        <f>'Debt Schedule'!I46</f>
        <v>206.74172243941862</v>
      </c>
    </row>
    <row r="21">
      <c r="B21" t="s" s="9">
        <v>252</v>
      </c>
      <c r="C21" s="70"/>
      <c r="D21" s="70">
        <f>'Debt Schedule'!D47</f>
        <v>0</v>
      </c>
      <c r="E21" s="70">
        <f>'Debt Schedule'!E47</f>
        <v>0</v>
      </c>
      <c r="F21" s="70">
        <f>'Debt Schedule'!F47</f>
        <v>0</v>
      </c>
      <c r="G21" s="70">
        <f>'Debt Schedule'!G47</f>
        <v>0</v>
      </c>
      <c r="H21" s="70">
        <f>'Debt Schedule'!H47</f>
        <v>0</v>
      </c>
      <c r="I21" s="70">
        <f>'Debt Schedule'!I47</f>
        <v>0</v>
      </c>
    </row>
    <row r="22">
      <c r="B22" t="s" s="9">
        <v>389</v>
      </c>
      <c r="C22" s="70"/>
      <c r="D22" s="70">
        <f>'Debt Schedule'!D52+'Debt Schedule'!D53</f>
        <v>0</v>
      </c>
      <c r="E22" s="70">
        <f>'Debt Schedule'!E52+'Debt Schedule'!E53</f>
        <v>-43.15699491605624</v>
      </c>
      <c r="F22" s="70">
        <f>'Debt Schedule'!F52+'Debt Schedule'!F53</f>
        <v>-53.594364782260534</v>
      </c>
      <c r="G22" s="70">
        <f>'Debt Schedule'!G52+'Debt Schedule'!G53</f>
        <v>-85.2333660448197</v>
      </c>
      <c r="H22" s="70">
        <f>'Debt Schedule'!H52+'Debt Schedule'!H53</f>
        <v>-142.67010615497293</v>
      </c>
      <c r="I22" s="70">
        <f>'Debt Schedule'!I52+'Debt Schedule'!I53</f>
        <v>-206.74172243941862</v>
      </c>
    </row>
    <row r="23">
      <c r="B23" t="s" s="9">
        <v>390</v>
      </c>
      <c r="C23" s="70"/>
      <c r="D23" s="70">
        <f>'Debt Schedule'!D102</f>
        <v>35.17975940160628</v>
      </c>
      <c r="E23" s="70">
        <f>'Debt Schedule'!E102</f>
        <v>68.69876612515387</v>
      </c>
      <c r="F23" s="70">
        <f>'Debt Schedule'!F102</f>
        <v>31.58228550594491</v>
      </c>
      <c r="G23" s="70">
        <f>'Debt Schedule'!G102</f>
        <v>0</v>
      </c>
      <c r="H23" s="70">
        <f>'Debt Schedule'!H102</f>
        <v>0</v>
      </c>
      <c r="I23" s="70">
        <f>'Debt Schedule'!I102</f>
        <v>0</v>
      </c>
    </row>
    <row r="24">
      <c r="B24" t="s" s="9">
        <v>391</v>
      </c>
      <c r="C24" s="70">
        <f>'Debt Schedule'!C114</f>
        <v>2700</v>
      </c>
      <c r="D24" s="70">
        <f>'Debt Schedule'!D114</f>
        <v>2735.179759401606</v>
      </c>
      <c r="E24" s="70">
        <f>'Debt Schedule'!E114</f>
        <v>2760.7215306107037</v>
      </c>
      <c r="F24" s="70">
        <f>'Debt Schedule'!F114</f>
        <v>2738.709451334388</v>
      </c>
      <c r="G24" s="70">
        <f>'Debt Schedule'!G114</f>
        <v>2653.4760852895683</v>
      </c>
      <c r="H24" s="70">
        <f>'Debt Schedule'!H114</f>
        <v>2510.8059791345954</v>
      </c>
      <c r="I24" s="70">
        <f>'Debt Schedule'!I114</f>
        <v>2304.064256695177</v>
      </c>
    </row>
    <row r="25">
      <c r="B25" t="s" s="9">
        <v>272</v>
      </c>
      <c r="C25" s="70">
        <f>'Debt Schedule'!C115</f>
        <v>0</v>
      </c>
      <c r="D25" s="70">
        <f>'Debt Schedule'!D115</f>
        <v>0</v>
      </c>
      <c r="E25" s="70">
        <f>'Debt Schedule'!E115</f>
        <v>0</v>
      </c>
      <c r="F25" s="70">
        <f>'Debt Schedule'!F115</f>
        <v>0</v>
      </c>
      <c r="G25" s="70">
        <f>'Debt Schedule'!G115</f>
        <v>0</v>
      </c>
      <c r="H25" s="70">
        <f>'Debt Schedule'!H115</f>
        <v>0</v>
      </c>
      <c r="I25" s="70">
        <f>'Debt Schedule'!I115</f>
        <v>0</v>
      </c>
    </row>
    <row r="26">
      <c r="B26" t="s" s="9">
        <v>294</v>
      </c>
      <c r="C26" s="70">
        <f>'Debt Schedule'!C113</f>
        <v>0</v>
      </c>
      <c r="D26" s="70">
        <f>'Debt Schedule'!D113</f>
        <v>0</v>
      </c>
      <c r="E26" s="70">
        <f>'Debt Schedule'!E113</f>
        <v>0</v>
      </c>
      <c r="F26" s="70">
        <f>'Debt Schedule'!F113</f>
        <v>0</v>
      </c>
      <c r="G26" s="70">
        <f>'Debt Schedule'!G113</f>
        <v>0</v>
      </c>
      <c r="H26" s="70">
        <f>'Debt Schedule'!H113</f>
        <v>0</v>
      </c>
      <c r="I26" s="70">
        <f>'Debt Schedule'!I113</f>
        <v>0</v>
      </c>
    </row>
    <row r="27">
      <c r="B27" t="s" s="41">
        <v>392</v>
      </c>
      <c r="C27" s="79">
        <f>'Debt Schedule'!C116</f>
        <v>2700</v>
      </c>
      <c r="D27" s="79">
        <f>'Debt Schedule'!D116</f>
        <v>2735.179759401606</v>
      </c>
      <c r="E27" s="79">
        <f>'Debt Schedule'!E116</f>
        <v>2760.7215306107037</v>
      </c>
      <c r="F27" s="79">
        <f>'Debt Schedule'!F116</f>
        <v>2738.709451334388</v>
      </c>
      <c r="G27" s="79">
        <f>'Debt Schedule'!G116</f>
        <v>2653.4760852895683</v>
      </c>
      <c r="H27" s="79">
        <f>'Debt Schedule'!H116</f>
        <v>2510.8059791345954</v>
      </c>
      <c r="I27" s="79">
        <f>'Debt Schedule'!I116</f>
        <v>2304.064256695177</v>
      </c>
    </row>
    <row r="28">
      <c r="B28" t="s" s="9">
        <v>296</v>
      </c>
      <c r="C28" s="70">
        <f>'Debt Schedule'!C117</f>
        <v>-75</v>
      </c>
      <c r="D28" s="70">
        <f>'Debt Schedule'!D117</f>
        <v>-78.64077422226413</v>
      </c>
      <c r="E28" s="70">
        <f>'Debt Schedule'!E117</f>
        <v>-75</v>
      </c>
      <c r="F28" s="70">
        <f>'Debt Schedule'!F117</f>
        <v>-75</v>
      </c>
      <c r="G28" s="70">
        <f>'Debt Schedule'!G117</f>
        <v>-75</v>
      </c>
      <c r="H28" s="70">
        <f>'Debt Schedule'!H117</f>
        <v>-75</v>
      </c>
      <c r="I28" s="70">
        <f>'Debt Schedule'!I117</f>
        <v>-75</v>
      </c>
    </row>
    <row r="29">
      <c r="B29" t="s" s="41">
        <v>393</v>
      </c>
      <c r="C29" s="79">
        <f>'Debt Schedule'!C118</f>
        <v>2625</v>
      </c>
      <c r="D29" s="79">
        <f>'Debt Schedule'!D118</f>
        <v>2656.538985179342</v>
      </c>
      <c r="E29" s="79">
        <f>'Debt Schedule'!E118</f>
        <v>2685.7215306107037</v>
      </c>
      <c r="F29" s="79">
        <f>'Debt Schedule'!F118</f>
        <v>2663.709451334388</v>
      </c>
      <c r="G29" s="79">
        <f>'Debt Schedule'!G118</f>
        <v>2578.4760852895683</v>
      </c>
      <c r="H29" s="79">
        <f>'Debt Schedule'!H118</f>
        <v>2435.8059791345954</v>
      </c>
      <c r="I29" s="79">
        <f>'Debt Schedule'!I118</f>
        <v>2229.064256695177</v>
      </c>
    </row>
    <row r="31" ht="13.5" customHeight="1">
      <c r="B31" t="s" s="34">
        <v>394</v>
      </c>
      <c r="C31" s="34"/>
      <c r="D31" s="34"/>
      <c r="E31" s="34"/>
      <c r="F31" s="34"/>
      <c r="G31" s="34"/>
      <c r="H31" s="34"/>
      <c r="I31" s="34"/>
    </row>
    <row r="32" ht="13.5" customHeight="1">
      <c r="B32" s="4"/>
      <c r="C32" s="38">
        <f>'Debt Schedule'!C6</f>
        <v>46198</v>
      </c>
      <c r="D32" s="39">
        <f>'Debt Schedule'!D6</f>
        <v>46387</v>
      </c>
      <c r="E32" s="39">
        <f>'Debt Schedule'!E6</f>
        <v>46752</v>
      </c>
      <c r="F32" s="39">
        <f>'Debt Schedule'!F6</f>
        <v>47118</v>
      </c>
      <c r="G32" s="39">
        <f>'Debt Schedule'!G6</f>
        <v>47483</v>
      </c>
      <c r="H32" s="39">
        <f>'Debt Schedule'!H6</f>
        <v>47848</v>
      </c>
      <c r="I32" s="39">
        <f>'Debt Schedule'!I6</f>
        <v>48213</v>
      </c>
    </row>
    <row r="33" ht="13.5" customHeight="1">
      <c r="B33" t="s" s="80">
        <v>317</v>
      </c>
      <c r="C33" s="80"/>
      <c r="D33" s="80"/>
      <c r="E33" s="80"/>
      <c r="F33" s="80"/>
      <c r="G33" s="80"/>
      <c r="H33" s="80"/>
      <c r="I33" s="80"/>
    </row>
    <row r="34" ht="13.5" customHeight="1">
      <c r="B34" t="s" s="9">
        <v>298</v>
      </c>
      <c r="C34" s="92">
        <f>'Credit Stats'!C14</f>
        <v>9.624124472009838</v>
      </c>
      <c r="D34" s="92">
        <f>'Credit Stats'!D14</f>
        <v>8.171594536217018</v>
      </c>
      <c r="E34" s="92">
        <f>'Credit Stats'!E14</f>
        <v>6.980781124531923</v>
      </c>
      <c r="F34" s="92">
        <f>'Credit Stats'!F14</f>
        <v>6.045493841914825</v>
      </c>
      <c r="G34" s="92">
        <f>'Credit Stats'!G14</f>
        <v>5.160625328116097</v>
      </c>
      <c r="H34" s="92">
        <f>'Credit Stats'!H14</f>
        <v>4.378088830787539</v>
      </c>
      <c r="I34" s="92">
        <f>'Credit Stats'!I14</f>
        <v>3.622581042633327</v>
      </c>
    </row>
    <row r="35" ht="13.5" customHeight="1">
      <c r="B35" t="s" s="9">
        <v>395</v>
      </c>
      <c r="C35" s="92">
        <f>'Credit Stats'!C16</f>
        <v>9.356787681120675</v>
      </c>
      <c r="D35" s="92">
        <f>'Credit Stats'!D16</f>
        <v>7.936648178943915</v>
      </c>
      <c r="E35" s="92">
        <f>'Credit Stats'!E16</f>
        <v>6.791135563205034</v>
      </c>
      <c r="F35" s="92">
        <f>'Credit Stats'!F16</f>
        <v>5.879937018089394</v>
      </c>
      <c r="G35" s="92">
        <f>'Credit Stats'!G16</f>
        <v>5.01476122866013</v>
      </c>
      <c r="H35" s="92">
        <f>'Credit Stats'!H16</f>
        <v>4.24731143697942</v>
      </c>
      <c r="I35" s="92">
        <f>'Credit Stats'!I16</f>
        <v>3.504661771324808</v>
      </c>
    </row>
    <row r="36" ht="13.5" customHeight="1">
      <c r="B36" t="s" s="9">
        <v>335</v>
      </c>
      <c r="C36" s="92"/>
      <c r="D36" s="92">
        <f>'Credit Stats'!D20</f>
        <v>1.9909755325578997</v>
      </c>
      <c r="E36" s="92">
        <f>'Credit Stats'!E20</f>
        <v>2.069958151053734</v>
      </c>
      <c r="F36" s="92">
        <f>'Credit Stats'!F20</f>
        <v>2.0518952650794984</v>
      </c>
      <c r="G36" s="92">
        <f>'Credit Stats'!G20</f>
        <v>2.1751728231522582</v>
      </c>
      <c r="H36" s="92">
        <f>'Credit Stats'!H20</f>
        <v>2.5532650418193032</v>
      </c>
      <c r="I36" s="92">
        <f>'Credit Stats'!I20</f>
        <v>3.0396481535638378</v>
      </c>
    </row>
    <row r="37" ht="13.5" customHeight="1">
      <c r="B37" t="s" s="9">
        <v>336</v>
      </c>
      <c r="C37" s="92"/>
      <c r="D37" s="92">
        <f>'Credit Stats'!D21</f>
        <v>1.417952135861084</v>
      </c>
      <c r="E37" s="92">
        <f>'Credit Stats'!E21</f>
        <v>1.522501579678361</v>
      </c>
      <c r="F37" s="92">
        <f>'Credit Stats'!F21</f>
        <v>1.795107137346257</v>
      </c>
      <c r="G37" s="92">
        <f>'Credit Stats'!G21</f>
        <v>2.1751728231522582</v>
      </c>
      <c r="H37" s="92">
        <f>'Credit Stats'!H21</f>
        <v>2.5532650418193032</v>
      </c>
      <c r="I37" s="92">
        <f>'Credit Stats'!I21</f>
        <v>3.0396481535638378</v>
      </c>
    </row>
    <row r="38" ht="13.5" customHeight="1">
      <c r="B38" t="s" s="9">
        <v>459</v>
      </c>
      <c r="C38" s="71">
        <f>'Credit Stats'!C30</f>
        <v>0</v>
      </c>
      <c r="D38" s="71">
        <f>'Credit Stats'!D30</f>
        <v>0</v>
      </c>
      <c r="E38" s="71">
        <f>'Credit Stats'!E30</f>
        <v>0</v>
      </c>
      <c r="F38" s="71">
        <f>'Credit Stats'!F30</f>
        <v>0</v>
      </c>
      <c r="G38" s="71">
        <f>'Credit Stats'!G30</f>
        <v>0</v>
      </c>
      <c r="H38" s="71">
        <f>'Credit Stats'!H30</f>
        <v>0</v>
      </c>
      <c r="I38" s="71">
        <f>'Credit Stats'!I30</f>
        <v>0</v>
      </c>
    </row>
    <row r="39" ht="13.5" customHeight="1">
      <c r="B39" t="s" s="9">
        <v>397</v>
      </c>
      <c r="C39" s="25">
        <f>'Credit Stats'!C51</f>
        <v>0.37621415459195495</v>
      </c>
      <c r="D39" s="25">
        <f>'Credit Stats'!D51</f>
        <v>0.470890121403739</v>
      </c>
      <c r="E39" s="25">
        <f>'Credit Stats'!E51</f>
        <v>0.5472576291196644</v>
      </c>
      <c r="F39" s="25">
        <f>'Credit Stats'!F51</f>
        <v>0.6080041987940403</v>
      </c>
      <c r="G39" s="25">
        <f>'Credit Stats'!G51</f>
        <v>0.6656825847559913</v>
      </c>
      <c r="H39" s="25">
        <f>'Credit Stats'!H51</f>
        <v>0.716845904201372</v>
      </c>
      <c r="I39" s="25">
        <f>'Credit Stats'!I51</f>
        <v>0.7663558819116795</v>
      </c>
    </row>
    <row r="40" ht="13.5" customHeight="1">
      <c r="B40" t="s" s="80">
        <v>318</v>
      </c>
      <c r="C40" s="80"/>
      <c r="D40" s="80"/>
      <c r="E40" s="80"/>
      <c r="F40" s="80"/>
      <c r="G40" s="80"/>
      <c r="H40" s="80"/>
      <c r="I40" s="80"/>
    </row>
    <row r="41" ht="13.5" customHeight="1">
      <c r="B41" t="s" s="9">
        <v>298</v>
      </c>
      <c r="C41" s="92">
        <f>'Credit Stats'!C63</f>
        <v>9.624124472009838</v>
      </c>
      <c r="D41" s="92">
        <f>'Credit Stats'!D63</f>
        <v>8.077111523176784</v>
      </c>
      <c r="E41" s="92">
        <f>'Credit Stats'!E63</f>
        <v>6.499939749132801</v>
      </c>
      <c r="F41" s="92">
        <f>'Credit Stats'!F63</f>
        <v>5.030255291334445</v>
      </c>
      <c r="G41" s="92">
        <f>'Credit Stats'!G63</f>
        <v>3.722945918192565</v>
      </c>
      <c r="H41" s="92">
        <f>'Credit Stats'!H63</f>
        <v>2.577272099974401</v>
      </c>
      <c r="I41" s="92">
        <f>'Credit Stats'!I63</f>
        <v>1.574669483500983</v>
      </c>
    </row>
    <row r="42" ht="13.5" customHeight="1">
      <c r="B42" t="s" s="9">
        <v>395</v>
      </c>
      <c r="C42" s="92">
        <f>'Credit Stats'!C65</f>
        <v>9.356787681120675</v>
      </c>
      <c r="D42" s="92">
        <f>'Credit Stats'!D65</f>
        <v>7.833669084657863</v>
      </c>
      <c r="E42" s="92">
        <f>'Credit Stats'!E65</f>
        <v>6.320849521991308</v>
      </c>
      <c r="F42" s="92">
        <f>'Credit Stats'!F65</f>
        <v>4.8857384671160204</v>
      </c>
      <c r="G42" s="92">
        <f>'Credit Stats'!G65</f>
        <v>3.604870658026723</v>
      </c>
      <c r="H42" s="92">
        <f>'Credit Stats'!H65</f>
        <v>2.479159760596755</v>
      </c>
      <c r="I42" s="92">
        <f>'Credit Stats'!I65</f>
        <v>1.491031384692322</v>
      </c>
    </row>
    <row r="43" ht="13.5" customHeight="1">
      <c r="B43" t="s" s="9">
        <v>335</v>
      </c>
      <c r="C43" s="92"/>
      <c r="D43" s="92">
        <f>'Credit Stats'!D69</f>
        <v>2.014265215591949</v>
      </c>
      <c r="E43" s="92">
        <f>'Credit Stats'!E69</f>
        <v>2.2070414603447643</v>
      </c>
      <c r="F43" s="92">
        <f>'Credit Stats'!F69</f>
        <v>2.4221910053471394</v>
      </c>
      <c r="G43" s="92">
        <f>'Credit Stats'!G69</f>
        <v>2.911397414963285</v>
      </c>
      <c r="H43" s="92">
        <f>'Credit Stats'!H69</f>
        <v>4.051668338688928</v>
      </c>
      <c r="I43" s="92">
        <f>'Credit Stats'!I69</f>
        <v>6.090848317735582</v>
      </c>
    </row>
    <row r="44" ht="13.5" customHeight="1">
      <c r="B44" t="s" s="9">
        <v>336</v>
      </c>
      <c r="C44" s="92"/>
      <c r="D44" s="92">
        <f>'Credit Stats'!D70</f>
        <v>1.4345388066973808</v>
      </c>
      <c r="E44" s="92">
        <f>'Credit Stats'!E70</f>
        <v>1.6234157419454192</v>
      </c>
      <c r="F44" s="92">
        <f>'Credit Stats'!F70</f>
        <v>2.119276715006747</v>
      </c>
      <c r="G44" s="92">
        <f>'Credit Stats'!G70</f>
        <v>2.911397414963285</v>
      </c>
      <c r="H44" s="92">
        <f>'Credit Stats'!H70</f>
        <v>4.051668338688928</v>
      </c>
      <c r="I44" s="92">
        <f>'Credit Stats'!I70</f>
        <v>6.090848317735582</v>
      </c>
    </row>
    <row r="45" ht="13.5" customHeight="1">
      <c r="B45" t="s" s="9">
        <v>459</v>
      </c>
      <c r="C45" s="71">
        <f>'Credit Stats'!C79</f>
        <v>0</v>
      </c>
      <c r="D45" s="71">
        <f>'Credit Stats'!D79</f>
        <v>0</v>
      </c>
      <c r="E45" s="71">
        <f>'Credit Stats'!E79</f>
        <v>0</v>
      </c>
      <c r="F45" s="71">
        <f>'Credit Stats'!F79</f>
        <v>0</v>
      </c>
      <c r="G45" s="71">
        <f>'Credit Stats'!G79</f>
        <v>0</v>
      </c>
      <c r="H45" s="71">
        <f>'Credit Stats'!H79</f>
        <v>0</v>
      </c>
      <c r="I45" s="71">
        <f>'Credit Stats'!I79</f>
        <v>0</v>
      </c>
    </row>
    <row r="46" ht="13.5" customHeight="1">
      <c r="B46" t="s" s="9">
        <v>397</v>
      </c>
      <c r="C46" s="25">
        <f>'Credit Stats'!C100</f>
        <v>0.37621415459195495</v>
      </c>
      <c r="D46" s="25">
        <f>'Credit Stats'!D100</f>
        <v>0.47775539435614245</v>
      </c>
      <c r="E46" s="25">
        <f>'Credit Stats'!E100</f>
        <v>0.5786100318672461</v>
      </c>
      <c r="F46" s="25">
        <f>'Credit Stats'!F100</f>
        <v>0.6742841021922653</v>
      </c>
      <c r="G46" s="25">
        <f>'Credit Stats'!G100</f>
        <v>0.7596752894648852</v>
      </c>
      <c r="H46" s="25">
        <f>'Credit Stats'!H100</f>
        <v>0.834722682626883</v>
      </c>
      <c r="I46" s="25">
        <f>'Credit Stats'!I100</f>
        <v>0.9005979076871785</v>
      </c>
    </row>
    <row r="47" ht="13.5" customHeight="1">
      <c r="B47" t="s" s="80">
        <v>456</v>
      </c>
      <c r="C47" s="80"/>
      <c r="D47" s="80"/>
      <c r="E47" s="80"/>
      <c r="F47" s="80"/>
      <c r="G47" s="80"/>
      <c r="H47" s="80"/>
      <c r="I47" s="80"/>
    </row>
    <row r="48" ht="13.5" customHeight="1">
      <c r="B48" t="s" s="9">
        <v>298</v>
      </c>
      <c r="C48" s="92">
        <f>'Credit Stats'!C112</f>
        <v>9.624124472009838</v>
      </c>
      <c r="D48" s="92">
        <f>'Credit Stats'!D112</f>
        <v>8.756468367559185</v>
      </c>
      <c r="E48" s="92">
        <f>'Credit Stats'!E112</f>
        <v>7.775508064772087</v>
      </c>
      <c r="F48" s="92">
        <f>'Credit Stats'!F112</f>
        <v>7.064618553754401</v>
      </c>
      <c r="G48" s="92">
        <f>'Credit Stats'!G112</f>
        <v>6.369707159459264</v>
      </c>
      <c r="H48" s="92">
        <f>'Credit Stats'!H112</f>
        <v>5.784038801067313</v>
      </c>
      <c r="I48" s="92">
        <f>'Credit Stats'!I112</f>
        <v>5.220324071868854</v>
      </c>
    </row>
    <row r="49" ht="13.5" customHeight="1">
      <c r="B49" t="s" s="9">
        <v>395</v>
      </c>
      <c r="C49" s="92">
        <f>'Credit Stats'!C114</f>
        <v>9.356787681120675</v>
      </c>
      <c r="D49" s="92">
        <f>'Credit Stats'!D114</f>
        <v>8.516972604645394</v>
      </c>
      <c r="E49" s="92">
        <f>'Credit Stats'!E114</f>
        <v>7.567657893601394</v>
      </c>
      <c r="F49" s="92">
        <f>'Credit Stats'!F114</f>
        <v>6.878335710567019</v>
      </c>
      <c r="G49" s="92">
        <f>'Credit Stats'!G114</f>
        <v>6.2011647651675785</v>
      </c>
      <c r="H49" s="92">
        <f>'Credit Stats'!H114</f>
        <v>5.628768198057736</v>
      </c>
      <c r="I49" s="92">
        <f>'Credit Stats'!I114</f>
        <v>5.076441647221172</v>
      </c>
    </row>
    <row r="50" ht="13.5" customHeight="1">
      <c r="B50" t="s" s="9">
        <v>335</v>
      </c>
      <c r="C50" s="92"/>
      <c r="D50" s="92">
        <f>'Credit Stats'!D118</f>
        <v>1.8597103451457002</v>
      </c>
      <c r="E50" s="92">
        <f>'Credit Stats'!E118</f>
        <v>1.8707735263331127</v>
      </c>
      <c r="F50" s="92">
        <f>'Credit Stats'!F118</f>
        <v>1.729027791609942</v>
      </c>
      <c r="G50" s="92">
        <f>'Credit Stats'!G118</f>
        <v>1.7878488224141036</v>
      </c>
      <c r="H50" s="92">
        <f>'Credit Stats'!H118</f>
        <v>1.9737863192041782</v>
      </c>
      <c r="I50" s="92">
        <f>'Credit Stats'!I118</f>
        <v>2.175976665185363</v>
      </c>
    </row>
    <row r="51" ht="13.5" customHeight="1">
      <c r="B51" t="s" s="9">
        <v>336</v>
      </c>
      <c r="C51" s="92"/>
      <c r="D51" s="92">
        <f>'Credit Stats'!D119</f>
        <v>1.3250850023271152</v>
      </c>
      <c r="E51" s="92">
        <f>'Credit Stats'!E119</f>
        <v>1.376577052302489</v>
      </c>
      <c r="F51" s="92">
        <f>'Credit Stats'!F119</f>
        <v>1.5080988191725435</v>
      </c>
      <c r="G51" s="92">
        <f>'Credit Stats'!G119</f>
        <v>1.7878488224141036</v>
      </c>
      <c r="H51" s="92">
        <f>'Credit Stats'!H119</f>
        <v>1.9737863192041782</v>
      </c>
      <c r="I51" s="92">
        <f>'Credit Stats'!I119</f>
        <v>2.175976665185363</v>
      </c>
    </row>
    <row r="52" ht="13.5" customHeight="1">
      <c r="B52" t="s" s="9">
        <v>459</v>
      </c>
      <c r="C52" s="71">
        <f>'Credit Stats'!C128</f>
        <v>0</v>
      </c>
      <c r="D52" s="71">
        <f>'Credit Stats'!D128</f>
        <v>6.977845296153275</v>
      </c>
      <c r="E52" s="71">
        <f>'Credit Stats'!E128</f>
        <v>1.2649818397277128</v>
      </c>
      <c r="F52" s="71">
        <f>'Credit Stats'!F128</f>
        <v>5.774293469698132</v>
      </c>
      <c r="G52" s="71">
        <f>'Credit Stats'!G128</f>
        <v>0</v>
      </c>
      <c r="H52" s="71">
        <f>'Credit Stats'!H128</f>
        <v>0</v>
      </c>
      <c r="I52" s="71">
        <f>'Credit Stats'!I128</f>
        <v>0</v>
      </c>
    </row>
    <row r="53" ht="13.5" customHeight="1">
      <c r="B53" t="s" s="9">
        <v>397</v>
      </c>
      <c r="C53" s="25">
        <f>'Credit Stats'!C149</f>
        <v>0.37621415459195495</v>
      </c>
      <c r="D53" s="25">
        <f>'Credit Stats'!D149</f>
        <v>0.4322018263569737</v>
      </c>
      <c r="E53" s="25">
        <f>'Credit Stats'!E149</f>
        <v>0.49548947375990704</v>
      </c>
      <c r="F53" s="25">
        <f>'Credit Stats'!F149</f>
        <v>0.5414442859621987</v>
      </c>
      <c r="G53" s="25">
        <f>'Credit Stats'!G149</f>
        <v>0.5865890156554947</v>
      </c>
      <c r="H53" s="25">
        <f>'Credit Stats'!H149</f>
        <v>0.624748786796151</v>
      </c>
      <c r="I53" s="25">
        <f>'Credit Stats'!I149</f>
        <v>0.6615705568519219</v>
      </c>
    </row>
    <row r="54" ht="13.5" customHeight="1">
      <c r="B54" t="s" s="78">
        <v>534</v>
      </c>
    </row>
    <row r="55" ht="13.5" customHeight="1"/>
    <row r="56" ht="13.5" customHeight="1">
      <c r="B56" t="s" s="34">
        <v>504</v>
      </c>
      <c r="C56" s="34"/>
      <c r="D56" s="34"/>
      <c r="E56" s="34"/>
      <c r="F56" s="34"/>
      <c r="G56" s="34"/>
      <c r="H56" s="34"/>
      <c r="I56" s="34"/>
    </row>
    <row r="57" ht="13.5" customHeight="1">
      <c r="C57" t="s" s="93">
        <v>507</v>
      </c>
      <c r="D57" t="s" s="36">
        <v>508</v>
      </c>
      <c r="E57" s="36"/>
      <c r="F57" s="36"/>
      <c r="G57" t="s" s="36">
        <v>511</v>
      </c>
      <c r="H57" s="36"/>
      <c r="I57" s="36"/>
    </row>
    <row r="58" ht="26" customHeight="1">
      <c r="B58" t="s" s="68">
        <v>355</v>
      </c>
      <c r="C58" t="s" s="69">
        <v>350</v>
      </c>
      <c r="D58" t="s" s="69">
        <v>509</v>
      </c>
      <c r="E58" t="s" s="69">
        <v>510</v>
      </c>
      <c r="F58" t="s" s="69">
        <v>411</v>
      </c>
      <c r="G58" t="s" s="69">
        <v>512</v>
      </c>
      <c r="H58" t="s" s="69">
        <v>500</v>
      </c>
      <c r="I58" t="s" s="69">
        <v>501</v>
      </c>
    </row>
    <row r="59" ht="13.5" customHeight="1">
      <c r="B59" t="s" s="80">
        <v>317</v>
      </c>
      <c r="C59" s="80"/>
      <c r="D59" s="80"/>
      <c r="E59" s="80"/>
      <c r="F59" s="80"/>
      <c r="G59" s="80"/>
      <c r="H59" s="80"/>
      <c r="I59" s="80"/>
    </row>
    <row r="60" ht="13.5" customHeight="1">
      <c r="B60" t="s" s="9">
        <v>377</v>
      </c>
      <c r="C60" s="57">
        <f>Scenarios!E38</f>
        <v>4.24731143697942</v>
      </c>
      <c r="D60" s="57">
        <f>Scenarios!E41</f>
        <v>1.9909755325578997</v>
      </c>
      <c r="E60" s="57">
        <f>Scenarios!E42</f>
        <v>1.417952135861084</v>
      </c>
      <c r="F60" s="71">
        <f>Scenarios!E47</f>
        <v>0</v>
      </c>
      <c r="G60" s="94">
        <f>Scenarios!E53</f>
        <v>0.2082301161586022</v>
      </c>
      <c r="H60" s="94">
        <f>Scenarios!E55</f>
        <v>0.2082301161586022</v>
      </c>
      <c r="I60" s="95">
        <f>Scenarios!E54</f>
        <v>2.351589225814409</v>
      </c>
    </row>
    <row r="61" ht="13.5" customHeight="1">
      <c r="B61" t="s" s="9">
        <v>378</v>
      </c>
      <c r="C61" s="57">
        <f>Scenarios!F38</f>
        <v>4.213756025040928</v>
      </c>
      <c r="D61" s="57">
        <f>Scenarios!F41</f>
        <v>1.4623592868077526</v>
      </c>
      <c r="E61" s="57">
        <f>Scenarios!F42</f>
        <v>1.4623592868077526</v>
      </c>
      <c r="F61" s="71">
        <f>Scenarios!F47</f>
        <v>49.21783065682233</v>
      </c>
      <c r="G61" s="94">
        <f>Scenarios!F53</f>
        <v>0.20861114681533022</v>
      </c>
      <c r="H61" s="94">
        <f>Scenarios!F55</f>
        <v>0.20861114681533022</v>
      </c>
      <c r="I61" s="95">
        <f>Scenarios!F54</f>
        <v>2.3549435411567416</v>
      </c>
    </row>
    <row r="62" ht="13.5" customHeight="1">
      <c r="B62" t="s" s="9">
        <v>402</v>
      </c>
      <c r="C62" s="57">
        <f>Scenarios!G38</f>
        <v>4.85160757221046</v>
      </c>
      <c r="D62" s="57">
        <f>Scenarios!G41</f>
        <v>1.9069093208205063</v>
      </c>
      <c r="E62" s="57">
        <f>Scenarios!G42</f>
        <v>1.417952135861084</v>
      </c>
      <c r="F62" s="71">
        <f>Scenarios!G47</f>
        <v>0</v>
      </c>
      <c r="G62" s="94">
        <f>Scenarios!G53</f>
        <v>0.2115863257953321</v>
      </c>
      <c r="H62" s="94">
        <f>Scenarios!G55</f>
        <v>0.2115863257953321</v>
      </c>
      <c r="I62" s="95">
        <f>Scenarios!G54</f>
        <v>2.3812631706160228</v>
      </c>
    </row>
    <row r="63" ht="13.5" customHeight="1">
      <c r="B63" t="s" s="9">
        <v>403</v>
      </c>
      <c r="C63" s="57">
        <f>Scenarios!H38</f>
        <v>4.507521630458146</v>
      </c>
      <c r="D63" s="57">
        <f>Scenarios!H41</f>
        <v>1.7099365201723098</v>
      </c>
      <c r="E63" s="57">
        <f>Scenarios!H42</f>
        <v>1.2693688043198263</v>
      </c>
      <c r="F63" s="71">
        <f>Scenarios!H47</f>
        <v>10.314618593372973</v>
      </c>
      <c r="G63" s="94">
        <f>Scenarios!H53</f>
        <v>0.2052609013776887</v>
      </c>
      <c r="H63" s="94">
        <f>Scenarios!H55</f>
        <v>0.2052609013776887</v>
      </c>
      <c r="I63" s="95">
        <f>Scenarios!H54</f>
        <v>2.3255777125057087</v>
      </c>
    </row>
    <row r="64" ht="13.5" customHeight="1">
      <c r="B64" t="s" s="9">
        <v>404</v>
      </c>
      <c r="C64" s="57">
        <f>Scenarios!I38</f>
        <v>4.000258539858601</v>
      </c>
      <c r="D64" s="57">
        <f>Scenarios!I41</f>
        <v>2.3748686957570113</v>
      </c>
      <c r="E64" s="57">
        <f>Scenarios!I42</f>
        <v>1.6024305896517055</v>
      </c>
      <c r="F64" s="71">
        <f>Scenarios!I47</f>
        <v>0</v>
      </c>
      <c r="G64" s="94">
        <f>Scenarios!I53</f>
        <v>0.21102561786292928</v>
      </c>
      <c r="H64" s="94">
        <f>Scenarios!I55</f>
        <v>0.21102561786292928</v>
      </c>
      <c r="I64" s="95">
        <f>Scenarios!I54</f>
        <v>2.3762854901517114</v>
      </c>
    </row>
    <row r="65" ht="13.5" customHeight="1">
      <c r="B65" t="s" s="80">
        <v>318</v>
      </c>
      <c r="C65" s="80"/>
      <c r="D65" s="80"/>
      <c r="E65" s="80"/>
      <c r="F65" s="80"/>
      <c r="G65" s="80"/>
      <c r="H65" s="80"/>
      <c r="I65" s="80"/>
    </row>
    <row r="66" ht="13.5" customHeight="1">
      <c r="B66" t="s" s="9">
        <v>377</v>
      </c>
      <c r="C66" s="57">
        <f>Scenarios!E63</f>
        <v>2.479159760596755</v>
      </c>
      <c r="D66" s="57">
        <f>Scenarios!E66</f>
        <v>2.014265215591949</v>
      </c>
      <c r="E66" s="57">
        <f>Scenarios!E67</f>
        <v>1.4345388066973808</v>
      </c>
      <c r="F66" s="71">
        <f>Scenarios!E72</f>
        <v>0</v>
      </c>
      <c r="G66" s="94">
        <f>Scenarios!E78</f>
        <v>0.3225260799224414</v>
      </c>
      <c r="H66" s="94">
        <f>Scenarios!E80</f>
        <v>0.32624931429358184</v>
      </c>
      <c r="I66" s="95">
        <f>Scenarios!E79</f>
        <v>3.5837109276999883</v>
      </c>
    </row>
    <row r="67" ht="13.5" customHeight="1">
      <c r="B67" t="s" s="9">
        <v>378</v>
      </c>
      <c r="C67" s="57">
        <f>Scenarios!F63</f>
        <v>2.4543649477851583</v>
      </c>
      <c r="D67" s="57">
        <f>Scenarios!F66</f>
        <v>1.4804368320368395</v>
      </c>
      <c r="E67" s="57">
        <f>Scenarios!F67</f>
        <v>1.4804368320368395</v>
      </c>
      <c r="F67" s="71">
        <f>Scenarios!F72</f>
        <v>24.026162634561544</v>
      </c>
      <c r="G67" s="94">
        <f>Scenarios!F78</f>
        <v>0.32279913660701753</v>
      </c>
      <c r="H67" s="94">
        <f>Scenarios!F80</f>
        <v>0.32651968303030476</v>
      </c>
      <c r="I67" s="95">
        <f>Scenarios!F79</f>
        <v>3.587014708272333</v>
      </c>
    </row>
    <row r="68" ht="13.5" customHeight="1">
      <c r="B68" t="s" s="9">
        <v>402</v>
      </c>
      <c r="C68" s="57">
        <f>Scenarios!G63</f>
        <v>3.0371633266053704</v>
      </c>
      <c r="D68" s="57">
        <f>Scenarios!G66</f>
        <v>2.014265215591949</v>
      </c>
      <c r="E68" s="57">
        <f>Scenarios!G67</f>
        <v>1.4345388066973808</v>
      </c>
      <c r="F68" s="71">
        <f>Scenarios!G72</f>
        <v>0</v>
      </c>
      <c r="G68" s="94">
        <f>Scenarios!G78</f>
        <v>0.32497879220043435</v>
      </c>
      <c r="H68" s="94">
        <f>Scenarios!G80</f>
        <v>0.3286779709123506</v>
      </c>
      <c r="I68" s="95">
        <f>Scenarios!G79</f>
        <v>3.6134731131304143</v>
      </c>
    </row>
    <row r="69" ht="13.5" customHeight="1">
      <c r="B69" t="s" s="9">
        <v>403</v>
      </c>
      <c r="C69" s="57">
        <f>Scenarios!H63</f>
        <v>2.6634929959238476</v>
      </c>
      <c r="D69" s="57">
        <f>Scenarios!H66</f>
        <v>1.7314408458220276</v>
      </c>
      <c r="E69" s="57">
        <f>Scenarios!H67</f>
        <v>1.2850450145160794</v>
      </c>
      <c r="F69" s="71">
        <f>Scenarios!H72</f>
        <v>6.467349219847963</v>
      </c>
      <c r="G69" s="94">
        <f>Scenarios!H78</f>
        <v>0.32048983238085493</v>
      </c>
      <c r="H69" s="94">
        <f>Scenarios!H80</f>
        <v>0.32423318985465355</v>
      </c>
      <c r="I69" s="95">
        <f>Scenarios!H79</f>
        <v>3.559149477434625</v>
      </c>
    </row>
    <row r="70" ht="13.5" customHeight="1">
      <c r="B70" t="s" s="9">
        <v>404</v>
      </c>
      <c r="C70" s="57">
        <f>Scenarios!I63</f>
        <v>2.304227230296931</v>
      </c>
      <c r="D70" s="57">
        <f>Scenarios!I66</f>
        <v>2.402649016643531</v>
      </c>
      <c r="E70" s="57">
        <f>Scenarios!I67</f>
        <v>1.6211752200636655</v>
      </c>
      <c r="F70" s="71">
        <f>Scenarios!I72</f>
        <v>0</v>
      </c>
      <c r="G70" s="94">
        <f>Scenarios!I78</f>
        <v>0.3244483274753984</v>
      </c>
      <c r="H70" s="94">
        <f>Scenarios!I80</f>
        <v>0.32815269199888597</v>
      </c>
      <c r="I70" s="95">
        <f>Scenarios!I79</f>
        <v>3.6070197826394095</v>
      </c>
    </row>
    <row r="71" ht="13.5" customHeight="1">
      <c r="B71" t="s" s="80">
        <v>456</v>
      </c>
      <c r="C71" s="80"/>
      <c r="D71" s="80"/>
      <c r="E71" s="80"/>
      <c r="F71" s="80"/>
      <c r="G71" s="80"/>
      <c r="H71" s="80"/>
      <c r="I71" s="80"/>
    </row>
    <row r="72" ht="13.5" customHeight="1">
      <c r="B72" t="s" s="9">
        <v>487</v>
      </c>
      <c r="C72" s="57">
        <f>Scenarios!E88</f>
        <v>5.6287681980577355</v>
      </c>
      <c r="D72" s="57">
        <f>Scenarios!E91</f>
        <v>1.729027791609942</v>
      </c>
      <c r="E72" s="57">
        <f>Scenarios!E92</f>
        <v>1.3250850023271152</v>
      </c>
      <c r="F72" s="71">
        <f>Scenarios!E97</f>
        <v>6.977845296153275</v>
      </c>
      <c r="G72" s="94">
        <f>Scenarios!E103</f>
        <v>0.16024516849324</v>
      </c>
      <c r="H72" s="94">
        <f>Scenarios!E105</f>
        <v>0.13903964754458564</v>
      </c>
      <c r="I72" s="95">
        <f>Scenarios!E104</f>
        <v>1.8013020465740552</v>
      </c>
    </row>
    <row r="73" ht="13.5" customHeight="1">
      <c r="B73" t="s" s="9">
        <v>488</v>
      </c>
      <c r="C73" s="57">
        <f>Scenarios!F88</f>
        <v>5.586171899411937</v>
      </c>
      <c r="D73" s="57">
        <f>Scenarios!F91</f>
        <v>1.3656760717312324</v>
      </c>
      <c r="E73" s="57">
        <f>Scenarios!F92</f>
        <v>1.3656760717312324</v>
      </c>
      <c r="F73" s="71">
        <f>Scenarios!F97</f>
        <v>127.51685553476301</v>
      </c>
      <c r="G73" s="94">
        <f>Scenarios!F103</f>
        <v>0.1607149603054132</v>
      </c>
      <c r="H73" s="94">
        <f>Scenarios!F105</f>
        <v>0.13954092872600454</v>
      </c>
      <c r="I73" s="95">
        <f>Scenarios!F104</f>
        <v>1.8048884291491016</v>
      </c>
    </row>
    <row r="74" ht="13.5" customHeight="1">
      <c r="B74" t="s" s="9">
        <v>489</v>
      </c>
      <c r="C74" s="57">
        <f>Scenarios!J88</f>
        <v>6.281555332264373</v>
      </c>
      <c r="D74" s="57">
        <f>Scenarios!J91</f>
        <v>1.3318130001094592</v>
      </c>
      <c r="E74" s="57">
        <f>Scenarios!J92</f>
        <v>1.0719674095858256</v>
      </c>
      <c r="F74" s="71">
        <f>Scenarios!J97</f>
        <v>289.34556737229417</v>
      </c>
      <c r="G74" s="94">
        <f>Scenarios!J103</f>
        <v>0.15296039980832798</v>
      </c>
      <c r="H74" s="94">
        <f>Scenarios!J105</f>
        <v>0.13125854183955776</v>
      </c>
      <c r="I74" s="95">
        <f>Scenarios!J104</f>
        <v>1.746340829807299</v>
      </c>
    </row>
    <row r="75" ht="13.5" customHeight="1">
      <c r="B75" t="s" s="78">
        <v>529</v>
      </c>
    </row>
    <row r="76" ht="13.5" customHeight="1"/>
    <row r="77" ht="13.5" customHeight="1"/>
    <row r="78" ht="13.5" customHeight="1"/>
    <row r="79" ht="13.5" customHeight="1"/>
    <row r="80" ht="13.5" customHeight="1"/>
    <row r="81" ht="13.5" customHeight="1"/>
  </sheetData>
  <printOptions horizontalCentered="1"/>
  <pageMargins left="0.7" right="0.7" top="0.75" bottom="0.75" header="0.3" footer="0.3"/>
  <pageSetup orientation="landscape"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139"/>
  <sheetViews>
    <sheetView showGridLines="0" workbookViewId="0">
      <selection activeCell="A1" sqref="A1"/>
    </sheetView>
  </sheetViews>
  <cols>
    <col min="1" max="1" width="2.21875" customWidth="1"/>
    <col min="2" max="2" width="57.07421875" customWidth="1"/>
    <col min="3" max="7" width="12.50390625" customWidth="1"/>
    <col min="8" max="8" width="18.9296875" customWidth="1"/>
    <col min="9" max="9" width="12.50390625" customWidth="1"/>
    <col min="10" max="10" width="2.21875" customWidth="1"/>
    <col min="11" max="16" width="9.7890625" customWidth="1"/>
  </cols>
  <sheetData>
    <row r="2">
      <c r="B2" t="s" s="2">
        <v>535</v>
      </c>
    </row>
    <row r="3">
      <c r="B3" t="s" s="3">
        <v>536</v>
      </c>
    </row>
    <row r="4" ht="27" customHeight="1">
      <c r="B4" t="s" s="162">
        <v>537</v>
      </c>
      <c r="C4" s="163"/>
      <c r="D4" s="163"/>
      <c r="E4" s="163"/>
      <c r="F4" s="163"/>
      <c r="G4" s="163"/>
      <c r="H4" s="163"/>
      <c r="I4" s="163"/>
    </row>
    <row r="5" ht="27" customHeight="1">
      <c r="B5" t="s" s="162">
        <v>538</v>
      </c>
      <c r="C5" s="163"/>
      <c r="D5" s="163"/>
      <c r="E5" s="163"/>
      <c r="F5" s="163"/>
      <c r="G5" s="163"/>
      <c r="H5" s="163"/>
      <c r="I5" s="163"/>
    </row>
    <row r="7">
      <c r="B7" t="s" s="34">
        <v>539</v>
      </c>
      <c r="C7" s="34"/>
      <c r="D7" s="34"/>
      <c r="E7" s="34"/>
      <c r="F7" s="34"/>
      <c r="G7" s="34"/>
      <c r="H7" s="34"/>
      <c r="I7" s="34"/>
    </row>
    <row r="8">
      <c r="B8" t="s" s="9">
        <v>540</v>
      </c>
      <c r="C8" s="104">
        <v>46322</v>
      </c>
    </row>
    <row r="9">
      <c r="B9" t="s" s="9">
        <v>541</v>
      </c>
      <c r="C9" s="105">
        <v>268</v>
      </c>
    </row>
    <row r="10">
      <c r="B10" t="s" s="9">
        <v>542</v>
      </c>
      <c r="C10" s="106">
        <v>3</v>
      </c>
    </row>
    <row r="11">
      <c r="B11" t="s" s="9">
        <v>4</v>
      </c>
      <c r="C11" s="107">
        <f>'Term Sheet'!$C$7</f>
        <v>46198</v>
      </c>
    </row>
    <row r="12">
      <c r="B12" t="s" s="9">
        <v>543</v>
      </c>
      <c r="C12" s="108">
        <f>'Term Sheet'!$C$9</f>
        <v>0.0353</v>
      </c>
    </row>
    <row r="14">
      <c r="B14" t="s" s="34">
        <v>544</v>
      </c>
      <c r="C14" s="34"/>
      <c r="D14" s="34"/>
      <c r="E14" s="34"/>
      <c r="F14" s="34"/>
      <c r="G14" s="34"/>
      <c r="H14" s="34"/>
      <c r="I14" s="34"/>
    </row>
    <row r="15">
      <c r="B15" t="s" s="111">
        <v>215</v>
      </c>
      <c r="C15" s="109"/>
      <c r="D15" s="110">
        <f>'Debt Schedule'!D$6</f>
        <v>46387</v>
      </c>
      <c r="E15" s="110">
        <f>'Debt Schedule'!E$6</f>
        <v>46752</v>
      </c>
      <c r="F15" s="110">
        <f>'Debt Schedule'!F$6</f>
        <v>47118</v>
      </c>
      <c r="G15" s="110">
        <f>'Debt Schedule'!G$6</f>
        <v>47483</v>
      </c>
      <c r="H15" s="110">
        <f>'Debt Schedule'!H$6</f>
        <v>47848</v>
      </c>
      <c r="I15" s="110">
        <f>'Debt Schedule'!I$6</f>
        <v>48213</v>
      </c>
    </row>
    <row r="16">
      <c r="B16" t="s" s="9">
        <v>545</v>
      </c>
      <c r="D16" s="101">
        <f>D$15-MAX($C$11,EDATE(D$15,-12))</f>
        <v>189</v>
      </c>
      <c r="E16" s="101">
        <f>E$15-MAX($C$11,EDATE(E$15,-12))</f>
        <v>365</v>
      </c>
      <c r="F16" s="101">
        <f>F$15-MAX($C$11,EDATE(F$15,-12))</f>
        <v>366</v>
      </c>
      <c r="G16" s="101">
        <f>G$15-MAX($C$11,EDATE(G$15,-12))</f>
        <v>365</v>
      </c>
      <c r="H16" s="101">
        <f>H$15-MAX($C$11,EDATE(H$15,-12))</f>
        <v>365</v>
      </c>
      <c r="I16" s="101">
        <f>I$15-MAX($C$11,EDATE(I$15,-12))</f>
        <v>365</v>
      </c>
    </row>
    <row r="17">
      <c r="B17" t="s" s="9">
        <v>546</v>
      </c>
      <c r="D17" s="101">
        <f>K$29</f>
        <v>126</v>
      </c>
      <c r="E17" s="101">
        <f>L$29</f>
        <v>0</v>
      </c>
      <c r="F17" s="101">
        <f>M$29</f>
        <v>0</v>
      </c>
      <c r="G17" s="101">
        <f>N$29</f>
        <v>0</v>
      </c>
      <c r="H17" s="101">
        <f>O$29</f>
        <v>0</v>
      </c>
      <c r="I17" s="101">
        <f>P$29</f>
        <v>0</v>
      </c>
    </row>
    <row r="18">
      <c r="B18" t="s" s="9">
        <v>547</v>
      </c>
      <c r="D18" s="98">
        <f>SUMPRODUCT($C$29:$C$50,K$29:K$50)/D$16/100</f>
        <v>0.03788825123862433</v>
      </c>
      <c r="E18" s="98">
        <f>SUMPRODUCT($C$29:$C$50,L$29:L$50)/E$16/100</f>
        <v>0.044530223125479454</v>
      </c>
      <c r="F18" s="98">
        <f>SUMPRODUCT($C$29:$C$50,M$29:M$50)/F$16/100</f>
        <v>0.045878595109836065</v>
      </c>
      <c r="G18" s="98">
        <f>SUMPRODUCT($C$29:$C$50,N$29:N$50)/G$16/100</f>
        <v>0.04477724721726028</v>
      </c>
      <c r="H18" s="98">
        <f>SUMPRODUCT($C$29:$C$50,O$29:O$50)/H$16/100</f>
        <v>0.04404760266821918</v>
      </c>
      <c r="I18" s="98">
        <f>SUMPRODUCT($C$29:$C$50,P$29:P$50)/I$16/100</f>
        <v>0.043878978073150686</v>
      </c>
    </row>
    <row r="19">
      <c r="B19" t="s" s="9">
        <v>548</v>
      </c>
      <c r="D19" s="98">
        <f>SUMPRODUCT($D$29:$D$50,K$29:K$50)/D$16/100</f>
        <v>0.038282924605291</v>
      </c>
      <c r="E19" s="98">
        <f>SUMPRODUCT($D$29:$D$50,L$29:L$50)/E$16/100</f>
        <v>0.04505393053616438</v>
      </c>
      <c r="F19" s="98">
        <f>SUMPRODUCT($D$29:$D$50,M$29:M$50)/F$16/100</f>
        <v>0.04598439985027322</v>
      </c>
      <c r="G19" s="98">
        <f>SUMPRODUCT($D$29:$D$50,N$29:N$50)/G$16/100</f>
        <v>0.044875348657260276</v>
      </c>
      <c r="H19" s="98">
        <f>SUMPRODUCT($D$29:$D$50,O$29:O$50)/H$16/100</f>
        <v>0.04417201292136986</v>
      </c>
      <c r="I19" s="98">
        <f>SUMPRODUCT($D$29:$D$50,P$29:P$50)/I$16/100</f>
        <v>0.04407827134410959</v>
      </c>
    </row>
    <row r="20">
      <c r="B20" t="s" s="112">
        <v>549</v>
      </c>
      <c r="C20" s="113"/>
      <c r="D20" s="114">
        <f>IF($C$10=1,D18,D19)</f>
        <v>0.038282924605291</v>
      </c>
      <c r="E20" s="114">
        <f>IF($C$10=1,E18,E19)</f>
        <v>0.04505393053616438</v>
      </c>
      <c r="F20" s="114">
        <f>IF($C$10=1,F18,F19)</f>
        <v>0.04598439985027322</v>
      </c>
      <c r="G20" s="114">
        <f>IF($C$10=1,G18,G19)</f>
        <v>0.044875348657260276</v>
      </c>
      <c r="H20" s="114">
        <f>IF($C$10=1,H18,H19)</f>
        <v>0.04417201292136986</v>
      </c>
      <c r="I20" s="114">
        <f>IF($C$10=1,I18,I19)</f>
        <v>0.04407827134410959</v>
      </c>
    </row>
    <row r="21">
      <c r="B21" t="s" s="9">
        <v>550</v>
      </c>
      <c r="D21" s="98">
        <f>$C$12</f>
        <v>0.0353</v>
      </c>
      <c r="E21" s="98">
        <f>$C$12</f>
        <v>0.0353</v>
      </c>
      <c r="F21" s="98">
        <f>$C$12</f>
        <v>0.0353</v>
      </c>
      <c r="G21" s="98">
        <f>$C$12</f>
        <v>0.0353</v>
      </c>
      <c r="H21" s="98">
        <f>$C$12</f>
        <v>0.0353</v>
      </c>
      <c r="I21" s="98">
        <f>$C$12</f>
        <v>0.0353</v>
      </c>
    </row>
    <row r="22">
      <c r="B22" t="s" s="9">
        <v>551</v>
      </c>
      <c r="D22" s="115">
        <f>(D20-D21)*10000</f>
        <v>29.829246052910026</v>
      </c>
      <c r="E22" s="115">
        <f>(E20-E21)*10000</f>
        <v>97.53930536164384</v>
      </c>
      <c r="F22" s="115">
        <f>(F20-F21)*10000</f>
        <v>106.84399850273223</v>
      </c>
      <c r="G22" s="115">
        <f>(G20-G21)*10000</f>
        <v>95.75348657260278</v>
      </c>
      <c r="H22" s="115">
        <f>(H20-H21)*10000</f>
        <v>88.72012921369861</v>
      </c>
      <c r="I22" s="115">
        <f>(I20-I21)*10000</f>
        <v>87.78271344109592</v>
      </c>
    </row>
    <row r="23">
      <c r="B23" t="s" s="9">
        <v>552</v>
      </c>
      <c r="D23" s="101">
        <f>SUM(K$29:K$50)</f>
        <v>189</v>
      </c>
      <c r="E23" s="101">
        <f>SUM(L$29:L$50)</f>
        <v>365</v>
      </c>
      <c r="F23" s="101">
        <f>SUM(M$29:M$50)</f>
        <v>366</v>
      </c>
      <c r="G23" s="101">
        <f>SUM(N$29:N$50)</f>
        <v>365</v>
      </c>
      <c r="H23" s="101">
        <f>SUM(O$29:O$50)</f>
        <v>365</v>
      </c>
      <c r="I23" s="101">
        <f>SUM(P$29:P$50)</f>
        <v>365</v>
      </c>
    </row>
    <row r="24">
      <c r="B24" t="s" s="9">
        <v>314</v>
      </c>
      <c r="D24" s="101">
        <f>D23-D16</f>
        <v>0</v>
      </c>
      <c r="E24" s="101">
        <f>E23-E16</f>
        <v>0</v>
      </c>
      <c r="F24" s="101">
        <f>F23-F16</f>
        <v>0</v>
      </c>
      <c r="G24" s="101">
        <f>G23-G16</f>
        <v>0</v>
      </c>
      <c r="H24" s="101">
        <f>H23-H16</f>
        <v>0</v>
      </c>
      <c r="I24" s="101">
        <f>I23-I16</f>
        <v>0</v>
      </c>
    </row>
    <row r="27">
      <c r="B27" t="s" s="34">
        <v>553</v>
      </c>
      <c r="C27" s="34"/>
      <c r="D27" s="34"/>
      <c r="E27" s="34"/>
      <c r="F27" s="34"/>
      <c r="G27" s="34"/>
      <c r="H27" s="34"/>
      <c r="K27" t="s" s="34">
        <v>566</v>
      </c>
      <c r="L27" s="34"/>
      <c r="M27" s="34"/>
      <c r="N27" s="34"/>
      <c r="O27" s="34"/>
      <c r="P27" s="34"/>
    </row>
    <row r="28">
      <c r="B28" t="s" s="111">
        <v>554</v>
      </c>
      <c r="C28" t="s" s="109">
        <v>556</v>
      </c>
      <c r="D28" t="s" s="109">
        <v>558</v>
      </c>
      <c r="E28" t="s" s="109">
        <v>559</v>
      </c>
      <c r="F28" t="s" s="109">
        <v>561</v>
      </c>
      <c r="G28" t="s" s="109">
        <v>562</v>
      </c>
      <c r="H28" t="s" s="109">
        <v>565</v>
      </c>
      <c r="K28" s="110">
        <f>D$15</f>
        <v>46387</v>
      </c>
      <c r="L28" s="110">
        <f>E$15</f>
        <v>46752</v>
      </c>
      <c r="M28" s="110">
        <f>F$15</f>
        <v>47118</v>
      </c>
      <c r="N28" s="110">
        <f>G$15</f>
        <v>47483</v>
      </c>
      <c r="O28" s="110">
        <f>H$15</f>
        <v>47848</v>
      </c>
      <c r="P28" s="110">
        <f>I$15</f>
        <v>48213</v>
      </c>
    </row>
    <row r="29">
      <c r="B29" s="120">
        <f>$C$11</f>
        <v>46198</v>
      </c>
      <c r="C29" s="121">
        <f>SUMPRODUCT($C$54:$C$139,$F$54:$F$139)/SUM($F$54:$F$139)</f>
        <v>3.7157936507936498</v>
      </c>
      <c r="D29" s="121">
        <f>C29</f>
        <v>3.7157936507936498</v>
      </c>
      <c r="E29" s="122">
        <f>B30</f>
        <v>46324</v>
      </c>
      <c r="F29" s="123">
        <f>E29-B29</f>
        <v>126</v>
      </c>
      <c r="G29" t="s" s="124">
        <v>751</v>
      </c>
      <c r="H29" s="121">
        <f>IF($C$10=1,C29,D29)</f>
        <v>3.7157936507936498</v>
      </c>
      <c r="K29" s="101">
        <f>MAX(0,MIN($E29,K$28)-MAX($B29,$C$11,EDATE(K$28,-12)))</f>
        <v>126</v>
      </c>
      <c r="L29" s="101">
        <f>MAX(0,MIN($E29,L$28)-MAX($B29,$C$11,EDATE(L$28,-12)))</f>
        <v>0</v>
      </c>
      <c r="M29" s="101">
        <f>MAX(0,MIN($E29,M$28)-MAX($B29,$C$11,EDATE(M$28,-12)))</f>
        <v>0</v>
      </c>
      <c r="N29" s="101">
        <f>MAX(0,MIN($E29,N$28)-MAX($B29,$C$11,EDATE(N$28,-12)))</f>
        <v>0</v>
      </c>
      <c r="O29" s="101">
        <f>MAX(0,MIN($E29,O$28)-MAX($B29,$C$11,EDATE(O$28,-12)))</f>
        <v>0</v>
      </c>
      <c r="P29" s="101">
        <f>MAX(0,MIN($E29,P$28)-MAX($B29,$C$11,EDATE(P$28,-12)))</f>
        <v>0</v>
      </c>
    </row>
    <row r="30">
      <c r="B30" s="118">
        <v>46324</v>
      </c>
      <c r="C30" s="119">
        <v>3.93488807</v>
      </c>
      <c r="D30" s="119">
        <v>4.05329008</v>
      </c>
      <c r="E30" s="97">
        <f>B31</f>
        <v>46416</v>
      </c>
      <c r="F30" s="102">
        <f>E30-B30</f>
        <v>92</v>
      </c>
      <c r="G30" t="s" s="73">
        <v>564</v>
      </c>
      <c r="H30" s="117">
        <f>IF($C$10=1,C30,D30)</f>
        <v>4.05329008</v>
      </c>
      <c r="K30" s="101">
        <f>MAX(0,MIN($E30,K$28)-MAX($B30,$C$11,EDATE(K$28,-12)))</f>
        <v>63</v>
      </c>
      <c r="L30" s="101">
        <f>MAX(0,MIN($E30,L$28)-MAX($B30,$C$11,EDATE(L$28,-12)))</f>
        <v>29</v>
      </c>
      <c r="M30" s="101">
        <f>MAX(0,MIN($E30,M$28)-MAX($B30,$C$11,EDATE(M$28,-12)))</f>
        <v>0</v>
      </c>
      <c r="N30" s="101">
        <f>MAX(0,MIN($E30,N$28)-MAX($B30,$C$11,EDATE(N$28,-12)))</f>
        <v>0</v>
      </c>
      <c r="O30" s="101">
        <f>MAX(0,MIN($E30,O$28)-MAX($B30,$C$11,EDATE(O$28,-12)))</f>
        <v>0</v>
      </c>
      <c r="P30" s="101">
        <f>MAX(0,MIN($E30,P$28)-MAX($B30,$C$11,EDATE(P$28,-12)))</f>
        <v>0</v>
      </c>
    </row>
    <row r="31">
      <c r="B31" s="118">
        <v>46416</v>
      </c>
      <c r="C31" s="119">
        <v>4.26001079</v>
      </c>
      <c r="D31" s="119">
        <v>4.33193903</v>
      </c>
      <c r="E31" s="97">
        <f>B32</f>
        <v>46506</v>
      </c>
      <c r="F31" s="102">
        <f>E31-B31</f>
        <v>90</v>
      </c>
      <c r="G31" t="s" s="73">
        <v>564</v>
      </c>
      <c r="H31" s="117">
        <f>IF($C$10=1,C31,D31)</f>
        <v>4.33193903</v>
      </c>
      <c r="K31" s="101">
        <f>MAX(0,MIN($E31,K$28)-MAX($B31,$C$11,EDATE(K$28,-12)))</f>
        <v>0</v>
      </c>
      <c r="L31" s="101">
        <f>MAX(0,MIN($E31,L$28)-MAX($B31,$C$11,EDATE(L$28,-12)))</f>
        <v>90</v>
      </c>
      <c r="M31" s="101">
        <f>MAX(0,MIN($E31,M$28)-MAX($B31,$C$11,EDATE(M$28,-12)))</f>
        <v>0</v>
      </c>
      <c r="N31" s="101">
        <f>MAX(0,MIN($E31,N$28)-MAX($B31,$C$11,EDATE(N$28,-12)))</f>
        <v>0</v>
      </c>
      <c r="O31" s="101">
        <f>MAX(0,MIN($E31,O$28)-MAX($B31,$C$11,EDATE(O$28,-12)))</f>
        <v>0</v>
      </c>
      <c r="P31" s="101">
        <f>MAX(0,MIN($E31,P$28)-MAX($B31,$C$11,EDATE(P$28,-12)))</f>
        <v>0</v>
      </c>
    </row>
    <row r="32">
      <c r="B32" s="118">
        <v>46506</v>
      </c>
      <c r="C32" s="119">
        <v>4.48674487</v>
      </c>
      <c r="D32" s="119">
        <v>4.55423568</v>
      </c>
      <c r="E32" s="97">
        <f>B33</f>
        <v>46597</v>
      </c>
      <c r="F32" s="102">
        <f>E32-B32</f>
        <v>91</v>
      </c>
      <c r="G32" t="s" s="73">
        <v>564</v>
      </c>
      <c r="H32" s="117">
        <f>IF($C$10=1,C32,D32)</f>
        <v>4.55423568</v>
      </c>
      <c r="K32" s="101">
        <f>MAX(0,MIN($E32,K$28)-MAX($B32,$C$11,EDATE(K$28,-12)))</f>
        <v>0</v>
      </c>
      <c r="L32" s="101">
        <f>MAX(0,MIN($E32,L$28)-MAX($B32,$C$11,EDATE(L$28,-12)))</f>
        <v>91</v>
      </c>
      <c r="M32" s="101">
        <f>MAX(0,MIN($E32,M$28)-MAX($B32,$C$11,EDATE(M$28,-12)))</f>
        <v>0</v>
      </c>
      <c r="N32" s="101">
        <f>MAX(0,MIN($E32,N$28)-MAX($B32,$C$11,EDATE(N$28,-12)))</f>
        <v>0</v>
      </c>
      <c r="O32" s="101">
        <f>MAX(0,MIN($E32,O$28)-MAX($B32,$C$11,EDATE(O$28,-12)))</f>
        <v>0</v>
      </c>
      <c r="P32" s="101">
        <f>MAX(0,MIN($E32,P$28)-MAX($B32,$C$11,EDATE(P$28,-12)))</f>
        <v>0</v>
      </c>
    </row>
    <row r="33">
      <c r="B33" s="118">
        <v>46597</v>
      </c>
      <c r="C33" s="119">
        <v>4.63785245</v>
      </c>
      <c r="D33" s="119">
        <v>4.66397568</v>
      </c>
      <c r="E33" s="97">
        <f>B34</f>
        <v>46689</v>
      </c>
      <c r="F33" s="102">
        <f>E33-B33</f>
        <v>92</v>
      </c>
      <c r="G33" t="s" s="73">
        <v>564</v>
      </c>
      <c r="H33" s="117">
        <f>IF($C$10=1,C33,D33)</f>
        <v>4.66397568</v>
      </c>
      <c r="K33" s="101">
        <f>MAX(0,MIN($E33,K$28)-MAX($B33,$C$11,EDATE(K$28,-12)))</f>
        <v>0</v>
      </c>
      <c r="L33" s="101">
        <f>MAX(0,MIN($E33,L$28)-MAX($B33,$C$11,EDATE(L$28,-12)))</f>
        <v>92</v>
      </c>
      <c r="M33" s="101">
        <f>MAX(0,MIN($E33,M$28)-MAX($B33,$C$11,EDATE(M$28,-12)))</f>
        <v>0</v>
      </c>
      <c r="N33" s="101">
        <f>MAX(0,MIN($E33,N$28)-MAX($B33,$C$11,EDATE(N$28,-12)))</f>
        <v>0</v>
      </c>
      <c r="O33" s="101">
        <f>MAX(0,MIN($E33,O$28)-MAX($B33,$C$11,EDATE(O$28,-12)))</f>
        <v>0</v>
      </c>
      <c r="P33" s="101">
        <f>MAX(0,MIN($E33,P$28)-MAX($B33,$C$11,EDATE(P$28,-12)))</f>
        <v>0</v>
      </c>
    </row>
    <row r="34">
      <c r="B34" s="118">
        <v>46689</v>
      </c>
      <c r="C34" s="119">
        <v>4.64863826</v>
      </c>
      <c r="D34" s="119">
        <v>4.65916397</v>
      </c>
      <c r="E34" s="97">
        <f>B35</f>
        <v>46783</v>
      </c>
      <c r="F34" s="102">
        <f>E34-B34</f>
        <v>94</v>
      </c>
      <c r="G34" t="s" s="73">
        <v>564</v>
      </c>
      <c r="H34" s="117">
        <f>IF($C$10=1,C34,D34)</f>
        <v>4.65916397</v>
      </c>
      <c r="K34" s="101">
        <f>MAX(0,MIN($E34,K$28)-MAX($B34,$C$11,EDATE(K$28,-12)))</f>
        <v>0</v>
      </c>
      <c r="L34" s="101">
        <f>MAX(0,MIN($E34,L$28)-MAX($B34,$C$11,EDATE(L$28,-12)))</f>
        <v>63</v>
      </c>
      <c r="M34" s="101">
        <f>MAX(0,MIN($E34,M$28)-MAX($B34,$C$11,EDATE(M$28,-12)))</f>
        <v>31</v>
      </c>
      <c r="N34" s="101">
        <f>MAX(0,MIN($E34,N$28)-MAX($B34,$C$11,EDATE(N$28,-12)))</f>
        <v>0</v>
      </c>
      <c r="O34" s="101">
        <f>MAX(0,MIN($E34,O$28)-MAX($B34,$C$11,EDATE(O$28,-12)))</f>
        <v>0</v>
      </c>
      <c r="P34" s="101">
        <f>MAX(0,MIN($E34,P$28)-MAX($B34,$C$11,EDATE(P$28,-12)))</f>
        <v>0</v>
      </c>
    </row>
    <row r="35">
      <c r="B35" s="118">
        <v>46783</v>
      </c>
      <c r="C35" s="119">
        <v>4.6152185</v>
      </c>
      <c r="D35" s="119">
        <v>4.63269524</v>
      </c>
      <c r="E35" s="97">
        <f>B36</f>
        <v>46871</v>
      </c>
      <c r="F35" s="102">
        <f>E35-B35</f>
        <v>88</v>
      </c>
      <c r="G35" t="s" s="73">
        <v>564</v>
      </c>
      <c r="H35" s="117">
        <f>IF($C$10=1,C35,D35)</f>
        <v>4.63269524</v>
      </c>
      <c r="K35" s="101">
        <f>MAX(0,MIN($E35,K$28)-MAX($B35,$C$11,EDATE(K$28,-12)))</f>
        <v>0</v>
      </c>
      <c r="L35" s="101">
        <f>MAX(0,MIN($E35,L$28)-MAX($B35,$C$11,EDATE(L$28,-12)))</f>
        <v>0</v>
      </c>
      <c r="M35" s="101">
        <f>MAX(0,MIN($E35,M$28)-MAX($B35,$C$11,EDATE(M$28,-12)))</f>
        <v>88</v>
      </c>
      <c r="N35" s="101">
        <f>MAX(0,MIN($E35,N$28)-MAX($B35,$C$11,EDATE(N$28,-12)))</f>
        <v>0</v>
      </c>
      <c r="O35" s="101">
        <f>MAX(0,MIN($E35,O$28)-MAX($B35,$C$11,EDATE(O$28,-12)))</f>
        <v>0</v>
      </c>
      <c r="P35" s="101">
        <f>MAX(0,MIN($E35,P$28)-MAX($B35,$C$11,EDATE(P$28,-12)))</f>
        <v>0</v>
      </c>
    </row>
    <row r="36">
      <c r="B36" s="118">
        <v>46871</v>
      </c>
      <c r="C36" s="119">
        <v>4.59591132</v>
      </c>
      <c r="D36" s="119">
        <v>4.60995391</v>
      </c>
      <c r="E36" s="97">
        <f>B37</f>
        <v>46965</v>
      </c>
      <c r="F36" s="102">
        <f>E36-B36</f>
        <v>94</v>
      </c>
      <c r="G36" t="s" s="73">
        <v>564</v>
      </c>
      <c r="H36" s="117">
        <f>IF($C$10=1,C36,D36)</f>
        <v>4.60995391</v>
      </c>
      <c r="K36" s="101">
        <f>MAX(0,MIN($E36,K$28)-MAX($B36,$C$11,EDATE(K$28,-12)))</f>
        <v>0</v>
      </c>
      <c r="L36" s="101">
        <f>MAX(0,MIN($E36,L$28)-MAX($B36,$C$11,EDATE(L$28,-12)))</f>
        <v>0</v>
      </c>
      <c r="M36" s="101">
        <f>MAX(0,MIN($E36,M$28)-MAX($B36,$C$11,EDATE(M$28,-12)))</f>
        <v>94</v>
      </c>
      <c r="N36" s="101">
        <f>MAX(0,MIN($E36,N$28)-MAX($B36,$C$11,EDATE(N$28,-12)))</f>
        <v>0</v>
      </c>
      <c r="O36" s="101">
        <f>MAX(0,MIN($E36,O$28)-MAX($B36,$C$11,EDATE(O$28,-12)))</f>
        <v>0</v>
      </c>
      <c r="P36" s="101">
        <f>MAX(0,MIN($E36,P$28)-MAX($B36,$C$11,EDATE(P$28,-12)))</f>
        <v>0</v>
      </c>
    </row>
    <row r="37">
      <c r="B37" s="118">
        <v>46965</v>
      </c>
      <c r="C37" s="119">
        <v>4.57460676</v>
      </c>
      <c r="D37" s="119">
        <v>4.57602335</v>
      </c>
      <c r="E37" s="97">
        <f>B38</f>
        <v>47056</v>
      </c>
      <c r="F37" s="102">
        <f>E37-B37</f>
        <v>91</v>
      </c>
      <c r="G37" t="s" s="73">
        <v>564</v>
      </c>
      <c r="H37" s="117">
        <f>IF($C$10=1,C37,D37)</f>
        <v>4.57602335</v>
      </c>
      <c r="K37" s="101">
        <f>MAX(0,MIN($E37,K$28)-MAX($B37,$C$11,EDATE(K$28,-12)))</f>
        <v>0</v>
      </c>
      <c r="L37" s="101">
        <f>MAX(0,MIN($E37,L$28)-MAX($B37,$C$11,EDATE(L$28,-12)))</f>
        <v>0</v>
      </c>
      <c r="M37" s="101">
        <f>MAX(0,MIN($E37,M$28)-MAX($B37,$C$11,EDATE(M$28,-12)))</f>
        <v>91</v>
      </c>
      <c r="N37" s="101">
        <f>MAX(0,MIN($E37,N$28)-MAX($B37,$C$11,EDATE(N$28,-12)))</f>
        <v>0</v>
      </c>
      <c r="O37" s="101">
        <f>MAX(0,MIN($E37,O$28)-MAX($B37,$C$11,EDATE(O$28,-12)))</f>
        <v>0</v>
      </c>
      <c r="P37" s="101">
        <f>MAX(0,MIN($E37,P$28)-MAX($B37,$C$11,EDATE(P$28,-12)))</f>
        <v>0</v>
      </c>
    </row>
    <row r="38">
      <c r="B38" s="118">
        <v>47056</v>
      </c>
      <c r="C38" s="119">
        <v>4.52588206</v>
      </c>
      <c r="D38" s="119">
        <v>4.53490287</v>
      </c>
      <c r="E38" s="97">
        <f>B39</f>
        <v>47147</v>
      </c>
      <c r="F38" s="102">
        <f>E38-B38</f>
        <v>91</v>
      </c>
      <c r="G38" t="s" s="73">
        <v>564</v>
      </c>
      <c r="H38" s="117">
        <f>IF($C$10=1,C38,D38)</f>
        <v>4.53490287</v>
      </c>
      <c r="K38" s="101">
        <f>MAX(0,MIN($E38,K$28)-MAX($B38,$C$11,EDATE(K$28,-12)))</f>
        <v>0</v>
      </c>
      <c r="L38" s="101">
        <f>MAX(0,MIN($E38,L$28)-MAX($B38,$C$11,EDATE(L$28,-12)))</f>
        <v>0</v>
      </c>
      <c r="M38" s="101">
        <f>MAX(0,MIN($E38,M$28)-MAX($B38,$C$11,EDATE(M$28,-12)))</f>
        <v>62</v>
      </c>
      <c r="N38" s="101">
        <f>MAX(0,MIN($E38,N$28)-MAX($B38,$C$11,EDATE(N$28,-12)))</f>
        <v>29</v>
      </c>
      <c r="O38" s="101">
        <f>MAX(0,MIN($E38,O$28)-MAX($B38,$C$11,EDATE(O$28,-12)))</f>
        <v>0</v>
      </c>
      <c r="P38" s="101">
        <f>MAX(0,MIN($E38,P$28)-MAX($B38,$C$11,EDATE(P$28,-12)))</f>
        <v>0</v>
      </c>
    </row>
    <row r="39">
      <c r="B39" s="118">
        <v>47147</v>
      </c>
      <c r="C39" s="119">
        <v>4.50170457</v>
      </c>
      <c r="D39" s="119">
        <v>4.51139882</v>
      </c>
      <c r="E39" s="97">
        <f>B40</f>
        <v>47238</v>
      </c>
      <c r="F39" s="102">
        <f>E39-B39</f>
        <v>91</v>
      </c>
      <c r="G39" t="s" s="73">
        <v>564</v>
      </c>
      <c r="H39" s="117">
        <f>IF($C$10=1,C39,D39)</f>
        <v>4.51139882</v>
      </c>
      <c r="K39" s="101">
        <f>MAX(0,MIN($E39,K$28)-MAX($B39,$C$11,EDATE(K$28,-12)))</f>
        <v>0</v>
      </c>
      <c r="L39" s="101">
        <f>MAX(0,MIN($E39,L$28)-MAX($B39,$C$11,EDATE(L$28,-12)))</f>
        <v>0</v>
      </c>
      <c r="M39" s="101">
        <f>MAX(0,MIN($E39,M$28)-MAX($B39,$C$11,EDATE(M$28,-12)))</f>
        <v>0</v>
      </c>
      <c r="N39" s="101">
        <f>MAX(0,MIN($E39,N$28)-MAX($B39,$C$11,EDATE(N$28,-12)))</f>
        <v>91</v>
      </c>
      <c r="O39" s="101">
        <f>MAX(0,MIN($E39,O$28)-MAX($B39,$C$11,EDATE(O$28,-12)))</f>
        <v>0</v>
      </c>
      <c r="P39" s="101">
        <f>MAX(0,MIN($E39,P$28)-MAX($B39,$C$11,EDATE(P$28,-12)))</f>
        <v>0</v>
      </c>
    </row>
    <row r="40">
      <c r="B40" s="118">
        <v>47238</v>
      </c>
      <c r="C40" s="119">
        <v>4.47990148</v>
      </c>
      <c r="D40" s="119">
        <v>4.49045658</v>
      </c>
      <c r="E40" s="97">
        <f>B41</f>
        <v>47329</v>
      </c>
      <c r="F40" s="102">
        <f>E40-B40</f>
        <v>91</v>
      </c>
      <c r="G40" t="s" s="73">
        <v>564</v>
      </c>
      <c r="H40" s="117">
        <f>IF($C$10=1,C40,D40)</f>
        <v>4.49045658</v>
      </c>
      <c r="K40" s="101">
        <f>MAX(0,MIN($E40,K$28)-MAX($B40,$C$11,EDATE(K$28,-12)))</f>
        <v>0</v>
      </c>
      <c r="L40" s="101">
        <f>MAX(0,MIN($E40,L$28)-MAX($B40,$C$11,EDATE(L$28,-12)))</f>
        <v>0</v>
      </c>
      <c r="M40" s="101">
        <f>MAX(0,MIN($E40,M$28)-MAX($B40,$C$11,EDATE(M$28,-12)))</f>
        <v>0</v>
      </c>
      <c r="N40" s="101">
        <f>MAX(0,MIN($E40,N$28)-MAX($B40,$C$11,EDATE(N$28,-12)))</f>
        <v>91</v>
      </c>
      <c r="O40" s="101">
        <f>MAX(0,MIN($E40,O$28)-MAX($B40,$C$11,EDATE(O$28,-12)))</f>
        <v>0</v>
      </c>
      <c r="P40" s="101">
        <f>MAX(0,MIN($E40,P$28)-MAX($B40,$C$11,EDATE(P$28,-12)))</f>
        <v>0</v>
      </c>
    </row>
    <row r="41">
      <c r="B41" s="118">
        <v>47329</v>
      </c>
      <c r="C41" s="119">
        <v>4.46097436</v>
      </c>
      <c r="D41" s="119">
        <v>4.47207575</v>
      </c>
      <c r="E41" s="97">
        <f>B42</f>
        <v>47420</v>
      </c>
      <c r="F41" s="102">
        <f>E41-B41</f>
        <v>91</v>
      </c>
      <c r="G41" t="s" s="73">
        <v>564</v>
      </c>
      <c r="H41" s="117">
        <f>IF($C$10=1,C41,D41)</f>
        <v>4.47207575</v>
      </c>
      <c r="K41" s="101">
        <f>MAX(0,MIN($E41,K$28)-MAX($B41,$C$11,EDATE(K$28,-12)))</f>
        <v>0</v>
      </c>
      <c r="L41" s="101">
        <f>MAX(0,MIN($E41,L$28)-MAX($B41,$C$11,EDATE(L$28,-12)))</f>
        <v>0</v>
      </c>
      <c r="M41" s="101">
        <f>MAX(0,MIN($E41,M$28)-MAX($B41,$C$11,EDATE(M$28,-12)))</f>
        <v>0</v>
      </c>
      <c r="N41" s="101">
        <f>MAX(0,MIN($E41,N$28)-MAX($B41,$C$11,EDATE(N$28,-12)))</f>
        <v>91</v>
      </c>
      <c r="O41" s="101">
        <f>MAX(0,MIN($E41,O$28)-MAX($B41,$C$11,EDATE(O$28,-12)))</f>
        <v>0</v>
      </c>
      <c r="P41" s="101">
        <f>MAX(0,MIN($E41,P$28)-MAX($B41,$C$11,EDATE(P$28,-12)))</f>
        <v>0</v>
      </c>
    </row>
    <row r="42">
      <c r="B42" s="118">
        <v>47420</v>
      </c>
      <c r="C42" s="119">
        <v>4.44197026</v>
      </c>
      <c r="D42" s="119">
        <v>4.44936997</v>
      </c>
      <c r="E42" s="97">
        <f>B43</f>
        <v>47512</v>
      </c>
      <c r="F42" s="102">
        <f>E42-B42</f>
        <v>92</v>
      </c>
      <c r="G42" t="s" s="73">
        <v>564</v>
      </c>
      <c r="H42" s="117">
        <f>IF($C$10=1,C42,D42)</f>
        <v>4.44936997</v>
      </c>
      <c r="K42" s="101">
        <f>MAX(0,MIN($E42,K$28)-MAX($B42,$C$11,EDATE(K$28,-12)))</f>
        <v>0</v>
      </c>
      <c r="L42" s="101">
        <f>MAX(0,MIN($E42,L$28)-MAX($B42,$C$11,EDATE(L$28,-12)))</f>
        <v>0</v>
      </c>
      <c r="M42" s="101">
        <f>MAX(0,MIN($E42,M$28)-MAX($B42,$C$11,EDATE(M$28,-12)))</f>
        <v>0</v>
      </c>
      <c r="N42" s="101">
        <f>MAX(0,MIN($E42,N$28)-MAX($B42,$C$11,EDATE(N$28,-12)))</f>
        <v>63</v>
      </c>
      <c r="O42" s="101">
        <f>MAX(0,MIN($E42,O$28)-MAX($B42,$C$11,EDATE(O$28,-12)))</f>
        <v>29</v>
      </c>
      <c r="P42" s="101">
        <f>MAX(0,MIN($E42,P$28)-MAX($B42,$C$11,EDATE(P$28,-12)))</f>
        <v>0</v>
      </c>
    </row>
    <row r="43">
      <c r="B43" s="118">
        <v>47512</v>
      </c>
      <c r="C43" s="119">
        <v>4.41606751</v>
      </c>
      <c r="D43" s="119">
        <v>4.42638313</v>
      </c>
      <c r="E43" s="97">
        <f>B44</f>
        <v>47602</v>
      </c>
      <c r="F43" s="102">
        <f>E43-B43</f>
        <v>90</v>
      </c>
      <c r="G43" t="s" s="73">
        <v>564</v>
      </c>
      <c r="H43" s="117">
        <f>IF($C$10=1,C43,D43)</f>
        <v>4.42638313</v>
      </c>
      <c r="K43" s="101">
        <f>MAX(0,MIN($E43,K$28)-MAX($B43,$C$11,EDATE(K$28,-12)))</f>
        <v>0</v>
      </c>
      <c r="L43" s="101">
        <f>MAX(0,MIN($E43,L$28)-MAX($B43,$C$11,EDATE(L$28,-12)))</f>
        <v>0</v>
      </c>
      <c r="M43" s="101">
        <f>MAX(0,MIN($E43,M$28)-MAX($B43,$C$11,EDATE(M$28,-12)))</f>
        <v>0</v>
      </c>
      <c r="N43" s="101">
        <f>MAX(0,MIN($E43,N$28)-MAX($B43,$C$11,EDATE(N$28,-12)))</f>
        <v>0</v>
      </c>
      <c r="O43" s="101">
        <f>MAX(0,MIN($E43,O$28)-MAX($B43,$C$11,EDATE(O$28,-12)))</f>
        <v>90</v>
      </c>
      <c r="P43" s="101">
        <f>MAX(0,MIN($E43,P$28)-MAX($B43,$C$11,EDATE(P$28,-12)))</f>
        <v>0</v>
      </c>
    </row>
    <row r="44">
      <c r="B44" s="118">
        <v>47602</v>
      </c>
      <c r="C44" s="119">
        <v>4.40044264</v>
      </c>
      <c r="D44" s="119">
        <v>4.41406939</v>
      </c>
      <c r="E44" s="97">
        <f>B45</f>
        <v>47693</v>
      </c>
      <c r="F44" s="102">
        <f>E44-B44</f>
        <v>91</v>
      </c>
      <c r="G44" t="s" s="73">
        <v>564</v>
      </c>
      <c r="H44" s="117">
        <f>IF($C$10=1,C44,D44)</f>
        <v>4.41406939</v>
      </c>
      <c r="K44" s="101">
        <f>MAX(0,MIN($E44,K$28)-MAX($B44,$C$11,EDATE(K$28,-12)))</f>
        <v>0</v>
      </c>
      <c r="L44" s="101">
        <f>MAX(0,MIN($E44,L$28)-MAX($B44,$C$11,EDATE(L$28,-12)))</f>
        <v>0</v>
      </c>
      <c r="M44" s="101">
        <f>MAX(0,MIN($E44,M$28)-MAX($B44,$C$11,EDATE(M$28,-12)))</f>
        <v>0</v>
      </c>
      <c r="N44" s="101">
        <f>MAX(0,MIN($E44,N$28)-MAX($B44,$C$11,EDATE(N$28,-12)))</f>
        <v>0</v>
      </c>
      <c r="O44" s="101">
        <f>MAX(0,MIN($E44,O$28)-MAX($B44,$C$11,EDATE(O$28,-12)))</f>
        <v>91</v>
      </c>
      <c r="P44" s="101">
        <f>MAX(0,MIN($E44,P$28)-MAX($B44,$C$11,EDATE(P$28,-12)))</f>
        <v>0</v>
      </c>
    </row>
    <row r="45">
      <c r="B45" s="118">
        <v>47693</v>
      </c>
      <c r="C45" s="119">
        <v>4.39456863</v>
      </c>
      <c r="D45" s="119">
        <v>4.41145497</v>
      </c>
      <c r="E45" s="97">
        <f>B46</f>
        <v>47785</v>
      </c>
      <c r="F45" s="102">
        <f>E45-B45</f>
        <v>92</v>
      </c>
      <c r="G45" t="s" s="73">
        <v>564</v>
      </c>
      <c r="H45" s="117">
        <f>IF($C$10=1,C45,D45)</f>
        <v>4.41145497</v>
      </c>
      <c r="K45" s="101">
        <f>MAX(0,MIN($E45,K$28)-MAX($B45,$C$11,EDATE(K$28,-12)))</f>
        <v>0</v>
      </c>
      <c r="L45" s="101">
        <f>MAX(0,MIN($E45,L$28)-MAX($B45,$C$11,EDATE(L$28,-12)))</f>
        <v>0</v>
      </c>
      <c r="M45" s="101">
        <f>MAX(0,MIN($E45,M$28)-MAX($B45,$C$11,EDATE(M$28,-12)))</f>
        <v>0</v>
      </c>
      <c r="N45" s="101">
        <f>MAX(0,MIN($E45,N$28)-MAX($B45,$C$11,EDATE(N$28,-12)))</f>
        <v>0</v>
      </c>
      <c r="O45" s="101">
        <f>MAX(0,MIN($E45,O$28)-MAX($B45,$C$11,EDATE(O$28,-12)))</f>
        <v>92</v>
      </c>
      <c r="P45" s="101">
        <f>MAX(0,MIN($E45,P$28)-MAX($B45,$C$11,EDATE(P$28,-12)))</f>
        <v>0</v>
      </c>
    </row>
    <row r="46">
      <c r="B46" s="118">
        <v>47785</v>
      </c>
      <c r="C46" s="119">
        <v>4.39259825</v>
      </c>
      <c r="D46" s="119">
        <v>4.40219189</v>
      </c>
      <c r="E46" s="97">
        <f>B47</f>
        <v>47877</v>
      </c>
      <c r="F46" s="102">
        <f>E46-B46</f>
        <v>92</v>
      </c>
      <c r="G46" t="s" s="73">
        <v>564</v>
      </c>
      <c r="H46" s="117">
        <f>IF($C$10=1,C46,D46)</f>
        <v>4.40219189</v>
      </c>
      <c r="K46" s="101">
        <f>MAX(0,MIN($E46,K$28)-MAX($B46,$C$11,EDATE(K$28,-12)))</f>
        <v>0</v>
      </c>
      <c r="L46" s="101">
        <f>MAX(0,MIN($E46,L$28)-MAX($B46,$C$11,EDATE(L$28,-12)))</f>
        <v>0</v>
      </c>
      <c r="M46" s="101">
        <f>MAX(0,MIN($E46,M$28)-MAX($B46,$C$11,EDATE(M$28,-12)))</f>
        <v>0</v>
      </c>
      <c r="N46" s="101">
        <f>MAX(0,MIN($E46,N$28)-MAX($B46,$C$11,EDATE(N$28,-12)))</f>
        <v>0</v>
      </c>
      <c r="O46" s="101">
        <f>MAX(0,MIN($E46,O$28)-MAX($B46,$C$11,EDATE(O$28,-12)))</f>
        <v>63</v>
      </c>
      <c r="P46" s="101">
        <f>MAX(0,MIN($E46,P$28)-MAX($B46,$C$11,EDATE(P$28,-12)))</f>
        <v>29</v>
      </c>
    </row>
    <row r="47">
      <c r="B47" s="118">
        <v>47877</v>
      </c>
      <c r="C47" s="119">
        <v>4.37569426</v>
      </c>
      <c r="D47" s="119">
        <v>4.39025641</v>
      </c>
      <c r="E47" s="97">
        <f>B48</f>
        <v>47967</v>
      </c>
      <c r="F47" s="102">
        <f>E47-B47</f>
        <v>90</v>
      </c>
      <c r="G47" t="s" s="73">
        <v>564</v>
      </c>
      <c r="H47" s="117">
        <f>IF($C$10=1,C47,D47)</f>
        <v>4.39025641</v>
      </c>
      <c r="K47" s="101">
        <f>MAX(0,MIN($E47,K$28)-MAX($B47,$C$11,EDATE(K$28,-12)))</f>
        <v>0</v>
      </c>
      <c r="L47" s="101">
        <f>MAX(0,MIN($E47,L$28)-MAX($B47,$C$11,EDATE(L$28,-12)))</f>
        <v>0</v>
      </c>
      <c r="M47" s="101">
        <f>MAX(0,MIN($E47,M$28)-MAX($B47,$C$11,EDATE(M$28,-12)))</f>
        <v>0</v>
      </c>
      <c r="N47" s="101">
        <f>MAX(0,MIN($E47,N$28)-MAX($B47,$C$11,EDATE(N$28,-12)))</f>
        <v>0</v>
      </c>
      <c r="O47" s="101">
        <f>MAX(0,MIN($E47,O$28)-MAX($B47,$C$11,EDATE(O$28,-12)))</f>
        <v>0</v>
      </c>
      <c r="P47" s="101">
        <f>MAX(0,MIN($E47,P$28)-MAX($B47,$C$11,EDATE(P$28,-12)))</f>
        <v>90</v>
      </c>
    </row>
    <row r="48">
      <c r="B48" s="118">
        <v>47967</v>
      </c>
      <c r="C48" s="119">
        <v>4.37492143</v>
      </c>
      <c r="D48" s="119">
        <v>4.39501774</v>
      </c>
      <c r="E48" s="97">
        <f>B49</f>
        <v>48058</v>
      </c>
      <c r="F48" s="102">
        <f>E48-B48</f>
        <v>91</v>
      </c>
      <c r="G48" t="s" s="73">
        <v>564</v>
      </c>
      <c r="H48" s="117">
        <f>IF($C$10=1,C48,D48)</f>
        <v>4.39501774</v>
      </c>
      <c r="K48" s="101">
        <f>MAX(0,MIN($E48,K$28)-MAX($B48,$C$11,EDATE(K$28,-12)))</f>
        <v>0</v>
      </c>
      <c r="L48" s="101">
        <f>MAX(0,MIN($E48,L$28)-MAX($B48,$C$11,EDATE(L$28,-12)))</f>
        <v>0</v>
      </c>
      <c r="M48" s="101">
        <f>MAX(0,MIN($E48,M$28)-MAX($B48,$C$11,EDATE(M$28,-12)))</f>
        <v>0</v>
      </c>
      <c r="N48" s="101">
        <f>MAX(0,MIN($E48,N$28)-MAX($B48,$C$11,EDATE(N$28,-12)))</f>
        <v>0</v>
      </c>
      <c r="O48" s="101">
        <f>MAX(0,MIN($E48,O$28)-MAX($B48,$C$11,EDATE(O$28,-12)))</f>
        <v>0</v>
      </c>
      <c r="P48" s="101">
        <f>MAX(0,MIN($E48,P$28)-MAX($B48,$C$11,EDATE(P$28,-12)))</f>
        <v>91</v>
      </c>
    </row>
    <row r="49">
      <c r="B49" s="118">
        <v>48058</v>
      </c>
      <c r="C49" s="119">
        <v>4.39025369</v>
      </c>
      <c r="D49" s="119">
        <v>4.41583983</v>
      </c>
      <c r="E49" s="97">
        <f>B50</f>
        <v>48150</v>
      </c>
      <c r="F49" s="102">
        <f>E49-B49</f>
        <v>92</v>
      </c>
      <c r="G49" t="s" s="73">
        <v>564</v>
      </c>
      <c r="H49" s="117">
        <f>IF($C$10=1,C49,D49)</f>
        <v>4.41583983</v>
      </c>
      <c r="K49" s="101">
        <f>MAX(0,MIN($E49,K$28)-MAX($B49,$C$11,EDATE(K$28,-12)))</f>
        <v>0</v>
      </c>
      <c r="L49" s="101">
        <f>MAX(0,MIN($E49,L$28)-MAX($B49,$C$11,EDATE(L$28,-12)))</f>
        <v>0</v>
      </c>
      <c r="M49" s="101">
        <f>MAX(0,MIN($E49,M$28)-MAX($B49,$C$11,EDATE(M$28,-12)))</f>
        <v>0</v>
      </c>
      <c r="N49" s="101">
        <f>MAX(0,MIN($E49,N$28)-MAX($B49,$C$11,EDATE(N$28,-12)))</f>
        <v>0</v>
      </c>
      <c r="O49" s="101">
        <f>MAX(0,MIN($E49,O$28)-MAX($B49,$C$11,EDATE(O$28,-12)))</f>
        <v>0</v>
      </c>
      <c r="P49" s="101">
        <f>MAX(0,MIN($E49,P$28)-MAX($B49,$C$11,EDATE(P$28,-12)))</f>
        <v>92</v>
      </c>
    </row>
    <row r="50">
      <c r="B50" s="118">
        <v>48150</v>
      </c>
      <c r="C50" s="119">
        <v>4.41847107</v>
      </c>
      <c r="D50" s="119">
        <v>4.44232355</v>
      </c>
      <c r="E50" s="103">
        <v>48242</v>
      </c>
      <c r="F50" s="102">
        <f>E50-B50</f>
        <v>92</v>
      </c>
      <c r="G50" t="s" s="73">
        <v>564</v>
      </c>
      <c r="H50" s="117">
        <f>IF($C$10=1,C50,D50)</f>
        <v>4.44232355</v>
      </c>
      <c r="K50" s="101">
        <f>MAX(0,MIN($E50,K$28)-MAX($B50,$C$11,EDATE(K$28,-12)))</f>
        <v>0</v>
      </c>
      <c r="L50" s="101">
        <f>MAX(0,MIN($E50,L$28)-MAX($B50,$C$11,EDATE(L$28,-12)))</f>
        <v>0</v>
      </c>
      <c r="M50" s="101">
        <f>MAX(0,MIN($E50,M$28)-MAX($B50,$C$11,EDATE(M$28,-12)))</f>
        <v>0</v>
      </c>
      <c r="N50" s="101">
        <f>MAX(0,MIN($E50,N$28)-MAX($B50,$C$11,EDATE(N$28,-12)))</f>
        <v>0</v>
      </c>
      <c r="O50" s="101">
        <f>MAX(0,MIN($E50,O$28)-MAX($B50,$C$11,EDATE(O$28,-12)))</f>
        <v>0</v>
      </c>
      <c r="P50" s="101">
        <f>MAX(0,MIN($E50,P$28)-MAX($B50,$C$11,EDATE(P$28,-12)))</f>
        <v>63</v>
      </c>
    </row>
    <row r="52">
      <c r="B52" t="s" s="34">
        <v>555</v>
      </c>
      <c r="C52" s="34"/>
      <c r="D52" s="34"/>
      <c r="E52" s="34"/>
      <c r="F52" s="34"/>
    </row>
    <row r="53">
      <c r="B53" t="s" s="111">
        <v>554</v>
      </c>
      <c r="C53" t="s" s="109">
        <v>557</v>
      </c>
      <c r="D53" s="109"/>
      <c r="E53" t="s" s="109">
        <v>560</v>
      </c>
      <c r="F53" t="s" s="109">
        <v>561</v>
      </c>
    </row>
    <row r="54">
      <c r="B54" s="118">
        <v>46198</v>
      </c>
      <c r="C54" s="125">
        <v>3.64</v>
      </c>
      <c r="E54" s="97">
        <f>B55</f>
        <v>46199</v>
      </c>
      <c r="F54" s="102">
        <f>E54-B54</f>
        <v>1</v>
      </c>
    </row>
    <row r="55">
      <c r="B55" s="118">
        <v>46199</v>
      </c>
      <c r="C55" s="125">
        <v>3.62</v>
      </c>
      <c r="E55" s="97">
        <f>B56</f>
        <v>46202</v>
      </c>
      <c r="F55" s="102">
        <f>E55-B55</f>
        <v>3</v>
      </c>
    </row>
    <row r="56">
      <c r="B56" s="118">
        <v>46202</v>
      </c>
      <c r="C56" s="125">
        <v>3.62</v>
      </c>
      <c r="E56" s="97">
        <f>B57</f>
        <v>46203</v>
      </c>
      <c r="F56" s="102">
        <f>E56-B56</f>
        <v>1</v>
      </c>
    </row>
    <row r="57">
      <c r="B57" s="118">
        <v>46203</v>
      </c>
      <c r="C57" s="125">
        <v>3.68</v>
      </c>
      <c r="E57" s="97">
        <f>B58</f>
        <v>46204</v>
      </c>
      <c r="F57" s="102">
        <f>E57-B57</f>
        <v>1</v>
      </c>
    </row>
    <row r="58">
      <c r="B58" s="118">
        <v>46204</v>
      </c>
      <c r="C58" s="125">
        <v>3.66</v>
      </c>
      <c r="E58" s="97">
        <f>B59</f>
        <v>46205</v>
      </c>
      <c r="F58" s="102">
        <f>E58-B58</f>
        <v>1</v>
      </c>
    </row>
    <row r="59">
      <c r="B59" s="118">
        <v>46205</v>
      </c>
      <c r="C59" s="125">
        <v>3.64</v>
      </c>
      <c r="E59" s="97">
        <f>B60</f>
        <v>46209</v>
      </c>
      <c r="F59" s="102">
        <f>E59-B59</f>
        <v>4</v>
      </c>
    </row>
    <row r="60">
      <c r="B60" s="118">
        <v>46209</v>
      </c>
      <c r="C60" s="125">
        <v>3.63</v>
      </c>
      <c r="E60" s="97">
        <f>B61</f>
        <v>46210</v>
      </c>
      <c r="F60" s="102">
        <f>E60-B60</f>
        <v>1</v>
      </c>
    </row>
    <row r="61">
      <c r="B61" s="118">
        <v>46210</v>
      </c>
      <c r="C61" s="125">
        <v>3.62</v>
      </c>
      <c r="E61" s="97">
        <f>B62</f>
        <v>46211</v>
      </c>
      <c r="F61" s="102">
        <f>E61-B61</f>
        <v>1</v>
      </c>
    </row>
    <row r="62">
      <c r="B62" s="118">
        <v>46211</v>
      </c>
      <c r="C62" s="125">
        <v>3.58</v>
      </c>
      <c r="E62" s="97">
        <f>B63</f>
        <v>46212</v>
      </c>
      <c r="F62" s="102">
        <f>E62-B62</f>
        <v>1</v>
      </c>
    </row>
    <row r="63">
      <c r="B63" s="118">
        <v>46212</v>
      </c>
      <c r="C63" s="125">
        <v>3.53</v>
      </c>
      <c r="E63" s="97">
        <f>B64</f>
        <v>46213</v>
      </c>
      <c r="F63" s="102">
        <f>E63-B63</f>
        <v>1</v>
      </c>
    </row>
    <row r="64">
      <c r="B64" s="118">
        <v>46213</v>
      </c>
      <c r="C64" s="125">
        <v>3.55</v>
      </c>
      <c r="E64" s="97">
        <f>B65</f>
        <v>46216</v>
      </c>
      <c r="F64" s="102">
        <f>E64-B64</f>
        <v>3</v>
      </c>
    </row>
    <row r="65">
      <c r="B65" s="118">
        <v>46216</v>
      </c>
      <c r="C65" s="125">
        <v>3.6</v>
      </c>
      <c r="E65" s="97">
        <f>B66</f>
        <v>46217</v>
      </c>
      <c r="F65" s="102">
        <f>E65-B65</f>
        <v>1</v>
      </c>
    </row>
    <row r="66">
      <c r="B66" s="118">
        <v>46217</v>
      </c>
      <c r="C66" s="125">
        <v>3.63</v>
      </c>
      <c r="E66" s="97">
        <f>B67</f>
        <v>46218</v>
      </c>
      <c r="F66" s="102">
        <f>E66-B66</f>
        <v>1</v>
      </c>
    </row>
    <row r="67">
      <c r="B67" s="118">
        <v>46218</v>
      </c>
      <c r="C67" s="125">
        <v>3.64</v>
      </c>
      <c r="E67" s="97">
        <f>B68</f>
        <v>46219</v>
      </c>
      <c r="F67" s="102">
        <f>E67-B67</f>
        <v>1</v>
      </c>
    </row>
    <row r="68">
      <c r="B68" s="118">
        <v>46219</v>
      </c>
      <c r="C68" s="125">
        <v>3.62</v>
      </c>
      <c r="E68" s="97">
        <f>B69</f>
        <v>46220</v>
      </c>
      <c r="F68" s="102">
        <f>E68-B68</f>
        <v>1</v>
      </c>
    </row>
    <row r="69">
      <c r="B69" s="118">
        <v>46220</v>
      </c>
      <c r="C69" s="125">
        <v>3.59</v>
      </c>
      <c r="E69" s="97">
        <f>B70</f>
        <v>46223</v>
      </c>
      <c r="F69" s="102">
        <f>E69-B69</f>
        <v>3</v>
      </c>
    </row>
    <row r="70">
      <c r="B70" s="118">
        <v>46223</v>
      </c>
      <c r="C70" s="125">
        <v>3.57</v>
      </c>
      <c r="E70" s="97">
        <f>B71</f>
        <v>46224</v>
      </c>
      <c r="F70" s="102">
        <f>E70-B70</f>
        <v>1</v>
      </c>
    </row>
    <row r="71">
      <c r="B71" s="118">
        <v>46224</v>
      </c>
      <c r="C71" s="125">
        <v>3.61</v>
      </c>
      <c r="E71" s="97">
        <f>B72</f>
        <v>46225</v>
      </c>
      <c r="F71" s="102">
        <f>E71-B71</f>
        <v>1</v>
      </c>
    </row>
    <row r="72">
      <c r="B72" s="118">
        <v>46225</v>
      </c>
      <c r="C72" s="125">
        <v>3.62</v>
      </c>
      <c r="E72" s="97">
        <f>B73</f>
        <v>46226</v>
      </c>
      <c r="F72" s="102">
        <f>E72-B72</f>
        <v>1</v>
      </c>
    </row>
    <row r="73">
      <c r="B73" s="118">
        <v>46226</v>
      </c>
      <c r="C73" s="125">
        <v>3.64</v>
      </c>
      <c r="E73" s="97">
        <f>B74</f>
        <v>46227</v>
      </c>
      <c r="F73" s="102">
        <f>E73-B73</f>
        <v>1</v>
      </c>
    </row>
    <row r="74">
      <c r="B74" s="118">
        <v>46227</v>
      </c>
      <c r="C74" s="125">
        <v>3.64</v>
      </c>
      <c r="E74" s="97">
        <f>B75</f>
        <v>46230</v>
      </c>
      <c r="F74" s="102">
        <f>E74-B74</f>
        <v>3</v>
      </c>
    </row>
    <row r="75">
      <c r="B75" s="118">
        <v>46230</v>
      </c>
      <c r="C75" s="125">
        <v>3.64</v>
      </c>
      <c r="E75" s="97">
        <f>B76</f>
        <v>46231</v>
      </c>
      <c r="F75" s="102">
        <f>E75-B75</f>
        <v>1</v>
      </c>
    </row>
    <row r="76">
      <c r="B76" s="118">
        <v>46231</v>
      </c>
      <c r="C76" s="125">
        <v>3.65</v>
      </c>
      <c r="E76" s="97">
        <f>B77</f>
        <v>46232</v>
      </c>
      <c r="F76" s="102">
        <f>E76-B76</f>
        <v>1</v>
      </c>
    </row>
    <row r="77">
      <c r="B77" s="118">
        <v>46232</v>
      </c>
      <c r="C77" s="125">
        <v>3.65</v>
      </c>
      <c r="E77" s="97">
        <f>B78</f>
        <v>46233</v>
      </c>
      <c r="F77" s="102">
        <f>E77-B77</f>
        <v>1</v>
      </c>
    </row>
    <row r="78">
      <c r="B78" s="118">
        <v>46233</v>
      </c>
      <c r="C78" s="125">
        <v>3.65</v>
      </c>
      <c r="E78" s="97">
        <f>B79</f>
        <v>46234</v>
      </c>
      <c r="F78" s="102">
        <f>E78-B78</f>
        <v>1</v>
      </c>
    </row>
    <row r="79">
      <c r="B79" s="118">
        <v>46234</v>
      </c>
      <c r="C79" s="125">
        <v>3.66</v>
      </c>
      <c r="E79" s="97">
        <f>B80</f>
        <v>46237</v>
      </c>
      <c r="F79" s="102">
        <f>E79-B79</f>
        <v>3</v>
      </c>
    </row>
    <row r="80">
      <c r="B80" s="118">
        <v>46237</v>
      </c>
      <c r="C80" s="125">
        <v>3.65</v>
      </c>
      <c r="E80" s="97">
        <f>B81</f>
        <v>46238</v>
      </c>
      <c r="F80" s="102">
        <f>E80-B80</f>
        <v>1</v>
      </c>
    </row>
    <row r="81">
      <c r="B81" s="118">
        <v>46238</v>
      </c>
      <c r="C81" s="125">
        <v>3.66</v>
      </c>
      <c r="E81" s="97">
        <f>B82</f>
        <v>46239</v>
      </c>
      <c r="F81" s="102">
        <f>E81-B81</f>
        <v>1</v>
      </c>
    </row>
    <row r="82">
      <c r="B82" s="118">
        <v>46239</v>
      </c>
      <c r="C82" s="125">
        <v>3.64</v>
      </c>
      <c r="E82" s="97">
        <f>B83</f>
        <v>46240</v>
      </c>
      <c r="F82" s="102">
        <f>E82-B82</f>
        <v>1</v>
      </c>
    </row>
    <row r="83">
      <c r="B83" s="118">
        <v>46240</v>
      </c>
      <c r="C83" s="125">
        <v>3.65</v>
      </c>
      <c r="E83" s="97">
        <f>B84</f>
        <v>46241</v>
      </c>
      <c r="F83" s="102">
        <f>E83-B83</f>
        <v>1</v>
      </c>
    </row>
    <row r="84">
      <c r="B84" s="118">
        <v>46241</v>
      </c>
      <c r="C84" s="125">
        <v>3.62</v>
      </c>
      <c r="E84" s="97">
        <f>B85</f>
        <v>46244</v>
      </c>
      <c r="F84" s="102">
        <f>E84-B84</f>
        <v>3</v>
      </c>
    </row>
    <row r="85">
      <c r="B85" s="118">
        <v>46244</v>
      </c>
      <c r="C85" s="125">
        <v>3.63</v>
      </c>
      <c r="E85" s="97">
        <f>B86</f>
        <v>46245</v>
      </c>
      <c r="F85" s="102">
        <f>E85-B85</f>
        <v>1</v>
      </c>
    </row>
    <row r="86">
      <c r="B86" s="118">
        <v>46245</v>
      </c>
      <c r="C86" s="125">
        <v>3.64</v>
      </c>
      <c r="E86" s="97">
        <f>B87</f>
        <v>46246</v>
      </c>
      <c r="F86" s="102">
        <f>E86-B86</f>
        <v>1</v>
      </c>
    </row>
    <row r="87">
      <c r="B87" s="118">
        <v>46246</v>
      </c>
      <c r="C87" s="125">
        <v>3.62</v>
      </c>
      <c r="E87" s="97">
        <f>B88</f>
        <v>46247</v>
      </c>
      <c r="F87" s="102">
        <f>E87-B87</f>
        <v>1</v>
      </c>
    </row>
    <row r="88">
      <c r="B88" s="118">
        <v>46247</v>
      </c>
      <c r="C88" s="125">
        <v>3.62</v>
      </c>
      <c r="E88" s="97">
        <f>B89</f>
        <v>46248</v>
      </c>
      <c r="F88" s="102">
        <f>E88-B88</f>
        <v>1</v>
      </c>
    </row>
    <row r="89">
      <c r="B89" s="118">
        <v>46248</v>
      </c>
      <c r="C89" s="125">
        <v>3.62</v>
      </c>
      <c r="E89" s="97">
        <f>B90</f>
        <v>46251</v>
      </c>
      <c r="F89" s="102">
        <f>E89-B89</f>
        <v>3</v>
      </c>
    </row>
    <row r="90">
      <c r="B90" s="118">
        <v>46251</v>
      </c>
      <c r="C90" s="125">
        <v>3.66</v>
      </c>
      <c r="E90" s="97">
        <f>B91</f>
        <v>46252</v>
      </c>
      <c r="F90" s="102">
        <f>E90-B90</f>
        <v>1</v>
      </c>
    </row>
    <row r="91">
      <c r="B91" s="118">
        <v>46252</v>
      </c>
      <c r="C91" s="125">
        <v>3.65</v>
      </c>
      <c r="E91" s="97">
        <f>B92</f>
        <v>46253</v>
      </c>
      <c r="F91" s="102">
        <f>E91-B91</f>
        <v>1</v>
      </c>
    </row>
    <row r="92">
      <c r="B92" s="118">
        <v>46253</v>
      </c>
      <c r="C92" s="125">
        <v>3.62</v>
      </c>
      <c r="E92" s="97">
        <f>B93</f>
        <v>46254</v>
      </c>
      <c r="F92" s="102">
        <f>E92-B92</f>
        <v>1</v>
      </c>
    </row>
    <row r="93">
      <c r="B93" s="118">
        <v>46254</v>
      </c>
      <c r="C93" s="125">
        <v>3.63</v>
      </c>
      <c r="E93" s="97">
        <f>B94</f>
        <v>46255</v>
      </c>
      <c r="F93" s="102">
        <f>E93-B93</f>
        <v>1</v>
      </c>
    </row>
    <row r="94">
      <c r="B94" s="118">
        <v>46255</v>
      </c>
      <c r="C94" s="125">
        <v>3.65</v>
      </c>
      <c r="E94" s="97">
        <f>B95</f>
        <v>46258</v>
      </c>
      <c r="F94" s="102">
        <f>E94-B94</f>
        <v>3</v>
      </c>
    </row>
    <row r="95">
      <c r="B95" s="118">
        <v>46258</v>
      </c>
      <c r="C95" s="125">
        <v>3.65</v>
      </c>
      <c r="E95" s="97">
        <f>B96</f>
        <v>46259</v>
      </c>
      <c r="F95" s="102">
        <f>E95-B95</f>
        <v>1</v>
      </c>
    </row>
    <row r="96">
      <c r="B96" s="118">
        <v>46259</v>
      </c>
      <c r="C96" s="125">
        <v>3.66</v>
      </c>
      <c r="E96" s="97">
        <f>B97</f>
        <v>46260</v>
      </c>
      <c r="F96" s="102">
        <f>E96-B96</f>
        <v>1</v>
      </c>
    </row>
    <row r="97">
      <c r="B97" s="118">
        <v>46260</v>
      </c>
      <c r="C97" s="125">
        <v>3.64</v>
      </c>
      <c r="E97" s="97">
        <f>B98</f>
        <v>46261</v>
      </c>
      <c r="F97" s="102">
        <f>E97-B97</f>
        <v>1</v>
      </c>
    </row>
    <row r="98">
      <c r="B98" s="118">
        <v>46261</v>
      </c>
      <c r="C98" s="125">
        <v>3.64</v>
      </c>
      <c r="E98" s="97">
        <f>B99</f>
        <v>46262</v>
      </c>
      <c r="F98" s="102">
        <f>E98-B98</f>
        <v>1</v>
      </c>
    </row>
    <row r="99">
      <c r="B99" s="118">
        <v>46262</v>
      </c>
      <c r="C99" s="125">
        <v>3.65</v>
      </c>
      <c r="E99" s="97">
        <f>B100</f>
        <v>46265</v>
      </c>
      <c r="F99" s="102">
        <f>E99-B99</f>
        <v>3</v>
      </c>
    </row>
    <row r="100">
      <c r="B100" s="118">
        <v>46265</v>
      </c>
      <c r="C100" s="125">
        <v>3.68</v>
      </c>
      <c r="E100" s="97">
        <f>B101</f>
        <v>46266</v>
      </c>
      <c r="F100" s="102">
        <f>E100-B100</f>
        <v>1</v>
      </c>
    </row>
    <row r="101">
      <c r="B101" s="118">
        <v>46266</v>
      </c>
      <c r="C101" s="125">
        <v>3.66</v>
      </c>
      <c r="E101" s="97">
        <f>B102</f>
        <v>46267</v>
      </c>
      <c r="F101" s="102">
        <f>E101-B101</f>
        <v>1</v>
      </c>
    </row>
    <row r="102">
      <c r="B102" s="118">
        <v>46267</v>
      </c>
      <c r="C102" s="125">
        <v>3.65</v>
      </c>
      <c r="E102" s="97">
        <f>B103</f>
        <v>46268</v>
      </c>
      <c r="F102" s="102">
        <f>E102-B102</f>
        <v>1</v>
      </c>
    </row>
    <row r="103">
      <c r="B103" s="118">
        <v>46268</v>
      </c>
      <c r="C103" s="125">
        <v>3.66</v>
      </c>
      <c r="E103" s="97">
        <f>B104</f>
        <v>46269</v>
      </c>
      <c r="F103" s="102">
        <f>E103-B103</f>
        <v>1</v>
      </c>
    </row>
    <row r="104">
      <c r="B104" s="118">
        <v>46269</v>
      </c>
      <c r="C104" s="125">
        <v>3.65</v>
      </c>
      <c r="E104" s="97">
        <f>B105</f>
        <v>46273</v>
      </c>
      <c r="F104" s="102">
        <f>E104-B104</f>
        <v>4</v>
      </c>
    </row>
    <row r="105">
      <c r="B105" s="118">
        <v>46273</v>
      </c>
      <c r="C105" s="125">
        <v>3.64</v>
      </c>
      <c r="E105" s="97">
        <f>B106</f>
        <v>46274</v>
      </c>
      <c r="F105" s="102">
        <f>E105-B105</f>
        <v>1</v>
      </c>
    </row>
    <row r="106">
      <c r="B106" s="118">
        <v>46274</v>
      </c>
      <c r="C106" s="125">
        <v>3.64</v>
      </c>
      <c r="E106" s="97">
        <f>B107</f>
        <v>46275</v>
      </c>
      <c r="F106" s="102">
        <f>E106-B106</f>
        <v>1</v>
      </c>
    </row>
    <row r="107">
      <c r="B107" s="118">
        <v>46275</v>
      </c>
      <c r="C107" s="125">
        <v>3.62</v>
      </c>
      <c r="E107" s="97">
        <f>B108</f>
        <v>46276</v>
      </c>
      <c r="F107" s="102">
        <f>E107-B107</f>
        <v>1</v>
      </c>
    </row>
    <row r="108">
      <c r="B108" s="118">
        <v>46276</v>
      </c>
      <c r="C108" s="125">
        <v>3.62</v>
      </c>
      <c r="E108" s="97">
        <f>B109</f>
        <v>46279</v>
      </c>
      <c r="F108" s="102">
        <f>E108-B108</f>
        <v>3</v>
      </c>
    </row>
    <row r="109">
      <c r="B109" s="118">
        <v>46279</v>
      </c>
      <c r="C109" s="125">
        <v>3.62</v>
      </c>
      <c r="E109" s="97">
        <f>B110</f>
        <v>46280</v>
      </c>
      <c r="F109" s="102">
        <f>E109-B109</f>
        <v>1</v>
      </c>
    </row>
    <row r="110">
      <c r="B110" s="118">
        <v>46280</v>
      </c>
      <c r="C110" s="125">
        <v>3.64</v>
      </c>
      <c r="E110" s="97">
        <f>B111</f>
        <v>46281</v>
      </c>
      <c r="F110" s="102">
        <f>E110-B110</f>
        <v>1</v>
      </c>
    </row>
    <row r="111">
      <c r="B111" s="118">
        <v>46281</v>
      </c>
      <c r="C111" s="125">
        <v>3.62</v>
      </c>
      <c r="E111" s="97">
        <f>B112</f>
        <v>46282</v>
      </c>
      <c r="F111" s="102">
        <f>E111-B111</f>
        <v>1</v>
      </c>
    </row>
    <row r="112">
      <c r="B112" s="118">
        <v>46282</v>
      </c>
      <c r="C112" s="125">
        <v>3.85</v>
      </c>
      <c r="E112" s="97">
        <f>B113</f>
        <v>46283</v>
      </c>
      <c r="F112" s="102">
        <f>E112-B112</f>
        <v>1</v>
      </c>
    </row>
    <row r="113">
      <c r="B113" s="118">
        <v>46283</v>
      </c>
      <c r="C113" s="125">
        <v>3.85</v>
      </c>
      <c r="E113" s="97">
        <f>B114</f>
        <v>46286</v>
      </c>
      <c r="F113" s="102">
        <f>E113-B113</f>
        <v>3</v>
      </c>
    </row>
    <row r="114">
      <c r="B114" s="118">
        <v>46286</v>
      </c>
      <c r="C114" s="125">
        <v>3.85</v>
      </c>
      <c r="E114" s="97">
        <f>B115</f>
        <v>46287</v>
      </c>
      <c r="F114" s="102">
        <f>E114-B114</f>
        <v>1</v>
      </c>
    </row>
    <row r="115">
      <c r="B115" s="118">
        <v>46287</v>
      </c>
      <c r="C115" s="125">
        <v>3.87</v>
      </c>
      <c r="E115" s="97">
        <f>B116</f>
        <v>46288</v>
      </c>
      <c r="F115" s="102">
        <f>E115-B115</f>
        <v>1</v>
      </c>
    </row>
    <row r="116">
      <c r="B116" s="118">
        <v>46288</v>
      </c>
      <c r="C116" s="125">
        <v>3.87</v>
      </c>
      <c r="E116" s="97">
        <f>B117</f>
        <v>46289</v>
      </c>
      <c r="F116" s="102">
        <f>E116-B116</f>
        <v>1</v>
      </c>
    </row>
    <row r="117">
      <c r="B117" s="118">
        <v>46289</v>
      </c>
      <c r="C117" s="125">
        <v>3.88</v>
      </c>
      <c r="E117" s="97">
        <f>B118</f>
        <v>46290</v>
      </c>
      <c r="F117" s="102">
        <f>E117-B117</f>
        <v>1</v>
      </c>
    </row>
    <row r="118">
      <c r="B118" s="118">
        <v>46290</v>
      </c>
      <c r="C118" s="125">
        <v>3.9</v>
      </c>
      <c r="E118" s="97">
        <f>B119</f>
        <v>46293</v>
      </c>
      <c r="F118" s="102">
        <f>E118-B118</f>
        <v>3</v>
      </c>
    </row>
    <row r="119">
      <c r="B119" s="118">
        <v>46293</v>
      </c>
      <c r="C119" s="125">
        <v>3.9</v>
      </c>
      <c r="E119" s="97">
        <f>B120</f>
        <v>46294</v>
      </c>
      <c r="F119" s="102">
        <f>E119-B119</f>
        <v>1</v>
      </c>
    </row>
    <row r="120">
      <c r="B120" s="118">
        <v>46294</v>
      </c>
      <c r="C120" s="125">
        <v>3.88</v>
      </c>
      <c r="E120" s="97">
        <f>B121</f>
        <v>46295</v>
      </c>
      <c r="F120" s="102">
        <f>E120-B120</f>
        <v>1</v>
      </c>
    </row>
    <row r="121">
      <c r="B121" s="118">
        <v>46295</v>
      </c>
      <c r="C121" s="125">
        <v>3.9</v>
      </c>
      <c r="E121" s="97">
        <f>B122</f>
        <v>46296</v>
      </c>
      <c r="F121" s="102">
        <f>E121-B121</f>
        <v>1</v>
      </c>
    </row>
    <row r="122">
      <c r="B122" s="118">
        <v>46296</v>
      </c>
      <c r="C122" s="125">
        <v>3.87</v>
      </c>
      <c r="E122" s="97">
        <f>B123</f>
        <v>46297</v>
      </c>
      <c r="F122" s="102">
        <f>E122-B122</f>
        <v>1</v>
      </c>
    </row>
    <row r="123">
      <c r="B123" s="118">
        <v>46297</v>
      </c>
      <c r="C123" s="125">
        <v>3.88</v>
      </c>
      <c r="E123" s="97">
        <f>B124</f>
        <v>46300</v>
      </c>
      <c r="F123" s="102">
        <f>E123-B123</f>
        <v>3</v>
      </c>
    </row>
    <row r="124">
      <c r="B124" s="118">
        <v>46300</v>
      </c>
      <c r="C124" s="125">
        <v>3.89</v>
      </c>
      <c r="E124" s="97">
        <f>B125</f>
        <v>46301</v>
      </c>
      <c r="F124" s="102">
        <f>E124-B124</f>
        <v>1</v>
      </c>
    </row>
    <row r="125">
      <c r="B125" s="118">
        <v>46301</v>
      </c>
      <c r="C125" s="125">
        <v>3.9</v>
      </c>
      <c r="E125" s="97">
        <f>B126</f>
        <v>46302</v>
      </c>
      <c r="F125" s="102">
        <f>E125-B125</f>
        <v>1</v>
      </c>
    </row>
    <row r="126">
      <c r="B126" s="118">
        <v>46302</v>
      </c>
      <c r="C126" s="125">
        <v>3.88</v>
      </c>
      <c r="E126" s="97">
        <f>B127</f>
        <v>46303</v>
      </c>
      <c r="F126" s="102">
        <f>E126-B126</f>
        <v>1</v>
      </c>
    </row>
    <row r="127">
      <c r="B127" s="118">
        <v>46303</v>
      </c>
      <c r="C127" s="125">
        <v>3.87</v>
      </c>
      <c r="E127" s="97">
        <f>B128</f>
        <v>46304</v>
      </c>
      <c r="F127" s="102">
        <f>E127-B127</f>
        <v>1</v>
      </c>
    </row>
    <row r="128">
      <c r="B128" s="118">
        <v>46304</v>
      </c>
      <c r="C128" s="125">
        <v>3.87</v>
      </c>
      <c r="E128" s="97">
        <f>B129</f>
        <v>46308</v>
      </c>
      <c r="F128" s="102">
        <f>E128-B128</f>
        <v>4</v>
      </c>
    </row>
    <row r="129">
      <c r="B129" s="118">
        <v>46308</v>
      </c>
      <c r="C129" s="125">
        <v>3.89</v>
      </c>
      <c r="E129" s="97">
        <f>B130</f>
        <v>46309</v>
      </c>
      <c r="F129" s="102">
        <f>E129-B129</f>
        <v>1</v>
      </c>
    </row>
    <row r="130">
      <c r="B130" s="118">
        <v>46309</v>
      </c>
      <c r="C130" s="125">
        <v>3.88</v>
      </c>
      <c r="E130" s="97">
        <f>B131</f>
        <v>46310</v>
      </c>
      <c r="F130" s="102">
        <f>E130-B130</f>
        <v>1</v>
      </c>
    </row>
    <row r="131">
      <c r="B131" s="118">
        <v>46310</v>
      </c>
      <c r="C131" s="125">
        <v>3.89</v>
      </c>
      <c r="E131" s="97">
        <f>B132</f>
        <v>46311</v>
      </c>
      <c r="F131" s="102">
        <f>E131-B131</f>
        <v>1</v>
      </c>
    </row>
    <row r="132">
      <c r="B132" s="118">
        <v>46311</v>
      </c>
      <c r="C132" s="125">
        <v>3.88</v>
      </c>
      <c r="E132" s="97">
        <f>B133</f>
        <v>46314</v>
      </c>
      <c r="F132" s="102">
        <f>E132-B132</f>
        <v>3</v>
      </c>
    </row>
    <row r="133">
      <c r="B133" s="118">
        <v>46314</v>
      </c>
      <c r="C133" s="125">
        <v>3.87</v>
      </c>
      <c r="E133" s="97">
        <f>B134</f>
        <v>46315</v>
      </c>
      <c r="F133" s="102">
        <f>E133-B133</f>
        <v>1</v>
      </c>
    </row>
    <row r="134">
      <c r="B134" s="118">
        <v>46315</v>
      </c>
      <c r="C134" s="125">
        <v>3.88</v>
      </c>
      <c r="E134" s="97">
        <f>B135</f>
        <v>46316</v>
      </c>
      <c r="F134" s="102">
        <f>E134-B134</f>
        <v>1</v>
      </c>
    </row>
    <row r="135">
      <c r="B135" s="118">
        <v>46316</v>
      </c>
      <c r="C135" s="125">
        <v>3.88</v>
      </c>
      <c r="E135" s="97">
        <f>B136</f>
        <v>46317</v>
      </c>
      <c r="F135" s="102">
        <f>E135-B135</f>
        <v>1</v>
      </c>
    </row>
    <row r="136">
      <c r="B136" s="118">
        <v>46317</v>
      </c>
      <c r="C136" s="125">
        <v>3.9</v>
      </c>
      <c r="E136" s="97">
        <f>B137</f>
        <v>46318</v>
      </c>
      <c r="F136" s="102">
        <f>E136-B136</f>
        <v>1</v>
      </c>
    </row>
    <row r="137">
      <c r="B137" s="118">
        <v>46318</v>
      </c>
      <c r="C137" s="125">
        <v>3.92</v>
      </c>
      <c r="E137" s="97">
        <f>B138</f>
        <v>46321</v>
      </c>
      <c r="F137" s="102">
        <f>E137-B137</f>
        <v>3</v>
      </c>
    </row>
    <row r="138">
      <c r="B138" s="118">
        <v>46321</v>
      </c>
      <c r="C138" s="125">
        <v>3.93</v>
      </c>
      <c r="E138" s="97">
        <f>B139</f>
        <v>46322</v>
      </c>
      <c r="F138" s="102">
        <f>E138-B138</f>
        <v>1</v>
      </c>
    </row>
    <row r="139">
      <c r="B139" s="118">
        <v>46322</v>
      </c>
      <c r="C139" s="125">
        <v>3.95</v>
      </c>
      <c r="E139" s="97">
        <f>$B$30</f>
        <v>46324</v>
      </c>
      <c r="F139" s="102">
        <f>E139-B139</f>
        <v>2</v>
      </c>
    </row>
  </sheetData>
  <mergeCells count="2">
    <mergeCell ref="B4:I4"/>
    <mergeCell ref="B5:I5"/>
  </mergeCells>
  <pageMargins left="0.7" right="0.7" top="0.75" bottom="0.75" header="0.3" footer="0.3"/>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151"/>
  <sheetViews>
    <sheetView showGridLines="0" workbookViewId="0">
      <selection activeCell="A1" sqref="A1"/>
    </sheetView>
  </sheetViews>
  <cols>
    <col min="1" max="1" width="2.21875" customWidth="1"/>
    <col min="2" max="2" width="62.7890625" customWidth="1"/>
    <col min="3" max="10" width="12.50390625" customWidth="1"/>
    <col min="11" max="11" width="13.64453125" customWidth="1"/>
    <col min="12" max="12" width="15.21875" customWidth="1"/>
    <col min="13" max="13" width="12.50390625" customWidth="1"/>
    <col min="14" max="19" width="9.7890625" customWidth="1"/>
  </cols>
  <sheetData>
    <row r="2">
      <c r="B2" t="s" s="2">
        <v>567</v>
      </c>
    </row>
    <row r="3">
      <c r="B3" t="s" s="3">
        <v>568</v>
      </c>
    </row>
    <row r="5">
      <c r="B5" t="s" s="34">
        <v>569</v>
      </c>
      <c r="C5" s="34"/>
      <c r="D5" s="34"/>
      <c r="E5" s="34"/>
      <c r="F5" s="34"/>
      <c r="G5" s="34"/>
      <c r="H5" s="34"/>
      <c r="I5" s="34"/>
      <c r="J5" s="34"/>
      <c r="K5" s="34"/>
      <c r="L5" s="34"/>
    </row>
    <row r="6">
      <c r="B6" t="s" s="9">
        <v>570</v>
      </c>
      <c r="C6" s="106">
        <v>4</v>
      </c>
    </row>
    <row r="7">
      <c r="B7" t="s" s="9">
        <v>571</v>
      </c>
      <c r="C7" s="126">
        <f>INT((C6-1)/3)+1</f>
        <v>2</v>
      </c>
    </row>
    <row r="8">
      <c r="B8" t="s" s="9">
        <v>572</v>
      </c>
      <c r="C8" s="126">
        <f>MOD(C6-1,3)</f>
        <v>0</v>
      </c>
    </row>
    <row r="9">
      <c r="B9" t="s" s="9">
        <v>573</v>
      </c>
      <c r="C9" t="str" s="164">
        <f>CHOOSE(C7,"Flat 3.53%","Forward curve","Curve +100bp","Curve +200bp","Peak forward held")&amp;", "&amp;CHOOSE(C8+1,"unhedged","capped","swapped")</f>
        <v>Forward curve, unhedged</v>
      </c>
    </row>
    <row r="10">
      <c r="C10" s="73"/>
    </row>
    <row r="11">
      <c r="B11" t="s" s="34">
        <v>574</v>
      </c>
      <c r="C11" s="127"/>
      <c r="D11" s="34"/>
      <c r="E11" s="34"/>
      <c r="F11" s="34"/>
      <c r="G11" s="34"/>
      <c r="H11" s="34"/>
      <c r="I11" s="34"/>
      <c r="J11" s="34"/>
      <c r="K11" s="34"/>
      <c r="L11" s="34"/>
    </row>
    <row r="12">
      <c r="B12" t="s" s="9">
        <v>575</v>
      </c>
      <c r="C12" s="128">
        <v>0.01</v>
      </c>
    </row>
    <row r="13">
      <c r="B13" t="s" s="9">
        <v>576</v>
      </c>
      <c r="C13" s="128">
        <v>0.02</v>
      </c>
    </row>
    <row r="14">
      <c r="B14" t="s" s="9">
        <v>577</v>
      </c>
      <c r="C14" s="129">
        <v>0.5</v>
      </c>
    </row>
    <row r="15">
      <c r="B15" t="s" s="9">
        <v>578</v>
      </c>
      <c r="C15" s="130">
        <f>C14*'Term Sheet'!$C$17</f>
        <v>1350</v>
      </c>
    </row>
    <row r="16">
      <c r="B16" t="s" s="9">
        <v>579</v>
      </c>
      <c r="C16" s="106">
        <v>36</v>
      </c>
    </row>
    <row r="17">
      <c r="B17" t="s" s="9">
        <v>580</v>
      </c>
      <c r="C17" s="107">
        <f>MAX('Term Sheet'!$C$7,'Forward Curve'!$B$30)</f>
        <v>46324</v>
      </c>
    </row>
    <row r="18">
      <c r="B18" t="s" s="9">
        <v>581</v>
      </c>
      <c r="C18" s="107">
        <f>EDATE('Term Sheet'!$C$7,C16)</f>
        <v>47294</v>
      </c>
    </row>
    <row r="19">
      <c r="B19" t="s" s="9">
        <v>582</v>
      </c>
      <c r="C19" s="108">
        <f>_xlfn.MAXIFS('Forward Curve'!$D$30:$D$50,'Forward Curve'!$B$30:$B$50,"&lt;"&amp;C18)/100</f>
        <v>0.0466397568</v>
      </c>
    </row>
    <row r="20">
      <c r="B20" t="s" s="9">
        <v>583</v>
      </c>
      <c r="C20" s="128">
        <v>0.0025</v>
      </c>
    </row>
    <row r="21">
      <c r="B21" t="s" s="9">
        <v>584</v>
      </c>
      <c r="C21" s="108">
        <f>CEILING(C19,C20)</f>
        <v>0.0475</v>
      </c>
    </row>
    <row r="22">
      <c r="B22" t="s" s="9">
        <v>585</v>
      </c>
      <c r="C22" s="108">
        <f>SUMPRODUCT(E29:E49,L29:L49,K29:K49)/SUMPRODUCT(L29:L49,K29:K49)</f>
        <v>0.045087515550507266</v>
      </c>
    </row>
    <row r="23">
      <c r="B23" t="s" s="9">
        <v>586</v>
      </c>
      <c r="C23" s="108">
        <f>MAX(H29:H49)</f>
        <v>0.0466397568</v>
      </c>
    </row>
    <row r="24">
      <c r="B24" t="s" s="9">
        <v>587</v>
      </c>
      <c r="C24" t="s" s="73">
        <v>600</v>
      </c>
    </row>
    <row r="25">
      <c r="B25" t="s" s="9">
        <v>611</v>
      </c>
      <c r="C25" s="106">
        <v>360</v>
      </c>
    </row>
    <row r="26">
      <c r="B26" t="s" s="34">
        <v>588</v>
      </c>
      <c r="C26" s="34"/>
      <c r="D26" s="34"/>
      <c r="E26" s="34"/>
      <c r="F26" s="34"/>
      <c r="G26" s="34"/>
      <c r="H26" s="34"/>
      <c r="I26" s="34"/>
      <c r="J26" s="34"/>
      <c r="K26" s="34"/>
      <c r="L26" s="34"/>
      <c r="N26" t="s" s="34">
        <v>610</v>
      </c>
      <c r="O26" s="34"/>
      <c r="P26" s="34"/>
      <c r="Q26" s="34"/>
      <c r="R26" s="34"/>
      <c r="S26" s="34"/>
    </row>
    <row r="27">
      <c r="B27" t="s" s="111">
        <v>554</v>
      </c>
      <c r="C27" t="s" s="109">
        <v>559</v>
      </c>
      <c r="D27" t="s" s="109">
        <v>601</v>
      </c>
      <c r="E27" t="s" s="109">
        <v>602</v>
      </c>
      <c r="F27" t="s" s="109">
        <v>603</v>
      </c>
      <c r="G27" t="s" s="109">
        <v>604</v>
      </c>
      <c r="H27" t="s" s="109">
        <v>605</v>
      </c>
      <c r="I27" t="s" s="109">
        <v>606</v>
      </c>
      <c r="J27" t="s" s="109">
        <v>607</v>
      </c>
      <c r="K27" t="s" s="109">
        <v>608</v>
      </c>
      <c r="L27" t="s" s="109">
        <v>609</v>
      </c>
      <c r="N27" s="110">
        <f>'Forward Curve'!D$15</f>
        <v>46387</v>
      </c>
      <c r="O27" s="110">
        <f>'Forward Curve'!E$15</f>
        <v>46752</v>
      </c>
      <c r="P27" s="110">
        <f>'Forward Curve'!F$15</f>
        <v>47118</v>
      </c>
      <c r="Q27" s="110">
        <f>'Forward Curve'!G$15</f>
        <v>47483</v>
      </c>
      <c r="R27" s="110">
        <f>'Forward Curve'!H$15</f>
        <v>47848</v>
      </c>
      <c r="S27" s="110">
        <f>'Forward Curve'!I$15</f>
        <v>48213</v>
      </c>
    </row>
    <row r="28">
      <c r="B28" s="120">
        <f>'Forward Curve'!B29</f>
        <v>46198</v>
      </c>
      <c r="C28" s="122">
        <f>'Forward Curve'!E29</f>
        <v>46324</v>
      </c>
      <c r="D28" s="132">
        <f>'Term Sheet'!$C$9</f>
        <v>0.0353</v>
      </c>
      <c r="E28" s="132">
        <f>'Forward Curve'!H29/100</f>
        <v>0.0371579365079365</v>
      </c>
      <c r="F28" s="132">
        <f>E28</f>
        <v>0.0371579365079365</v>
      </c>
      <c r="G28" s="132">
        <f>E28</f>
        <v>0.0371579365079365</v>
      </c>
      <c r="H28" s="132">
        <f>E28</f>
        <v>0.0371579365079365</v>
      </c>
      <c r="I28" s="165">
        <f>MAX(0,MIN(C28,$C$18)-MAX(B28,$C$17))</f>
        <v>0</v>
      </c>
      <c r="J28" s="121">
        <f>(C28-B28)/$C$25</f>
        <v>0.35</v>
      </c>
      <c r="K28" s="133"/>
      <c r="L28" s="121">
        <f>I28/$C$25</f>
        <v>0</v>
      </c>
      <c r="N28" s="101">
        <f>MAX(0,MIN($C28,N$27,$C$18)-MAX($B28,$C$17,EDATE(N$27,-12)))</f>
        <v>0</v>
      </c>
      <c r="O28" s="101">
        <f>MAX(0,MIN($C28,O$27,$C$18)-MAX($B28,$C$17,EDATE(O$27,-12)))</f>
        <v>0</v>
      </c>
      <c r="P28" s="101">
        <f>MAX(0,MIN($C28,P$27,$C$18)-MAX($B28,$C$17,EDATE(P$27,-12)))</f>
        <v>0</v>
      </c>
      <c r="Q28" s="101">
        <f>MAX(0,MIN($C28,Q$27,$C$18)-MAX($B28,$C$17,EDATE(Q$27,-12)))</f>
        <v>0</v>
      </c>
      <c r="R28" s="101">
        <f>MAX(0,MIN($C28,R$27,$C$18)-MAX($B28,$C$17,EDATE(R$27,-12)))</f>
        <v>0</v>
      </c>
      <c r="S28" s="101">
        <f>MAX(0,MIN($C28,S$27,$C$18)-MAX($B28,$C$17,EDATE(S$27,-12)))</f>
        <v>0</v>
      </c>
    </row>
    <row r="29">
      <c r="B29" s="116">
        <f>'Forward Curve'!B30</f>
        <v>46324</v>
      </c>
      <c r="C29" s="97">
        <f>'Forward Curve'!E30</f>
        <v>46416</v>
      </c>
      <c r="D29" s="98">
        <f>'Term Sheet'!$C$9</f>
        <v>0.0353</v>
      </c>
      <c r="E29" s="98">
        <f>'Forward Curve'!H30/100</f>
        <v>0.0405329008</v>
      </c>
      <c r="F29" s="98">
        <f>E29+$C$12</f>
        <v>0.0505329008</v>
      </c>
      <c r="G29" s="98">
        <f>E29+$C$13</f>
        <v>0.0605329008</v>
      </c>
      <c r="H29" s="98">
        <f>MAX(E$29:E29)</f>
        <v>0.0405329008</v>
      </c>
      <c r="I29" s="101">
        <f>MAX(0,MIN(C29,$C$18)-MAX(B29,$C$17))</f>
        <v>92</v>
      </c>
      <c r="J29" s="117">
        <f>(C29-B29)/$C$25</f>
        <v>0.25555555555555554</v>
      </c>
      <c r="K29" s="131">
        <f>1/(1+E29*J29)</f>
        <v>0.9897477886061156</v>
      </c>
      <c r="L29" s="117">
        <f>I29/$C$25</f>
        <v>0.25555555555555554</v>
      </c>
      <c r="N29" s="101">
        <f>MAX(0,MIN($C29,N$27,$C$18)-MAX($B29,$C$17,EDATE(N$27,-12)))</f>
        <v>63</v>
      </c>
      <c r="O29" s="101">
        <f>MAX(0,MIN($C29,O$27,$C$18)-MAX($B29,$C$17,EDATE(O$27,-12)))</f>
        <v>29</v>
      </c>
      <c r="P29" s="101">
        <f>MAX(0,MIN($C29,P$27,$C$18)-MAX($B29,$C$17,EDATE(P$27,-12)))</f>
        <v>0</v>
      </c>
      <c r="Q29" s="101">
        <f>MAX(0,MIN($C29,Q$27,$C$18)-MAX($B29,$C$17,EDATE(Q$27,-12)))</f>
        <v>0</v>
      </c>
      <c r="R29" s="101">
        <f>MAX(0,MIN($C29,R$27,$C$18)-MAX($B29,$C$17,EDATE(R$27,-12)))</f>
        <v>0</v>
      </c>
      <c r="S29" s="101">
        <f>MAX(0,MIN($C29,S$27,$C$18)-MAX($B29,$C$17,EDATE(S$27,-12)))</f>
        <v>0</v>
      </c>
    </row>
    <row r="30">
      <c r="B30" s="116">
        <f>'Forward Curve'!B31</f>
        <v>46416</v>
      </c>
      <c r="C30" s="97">
        <f>'Forward Curve'!E31</f>
        <v>46506</v>
      </c>
      <c r="D30" s="98">
        <f>'Term Sheet'!$C$9</f>
        <v>0.0353</v>
      </c>
      <c r="E30" s="98">
        <f>'Forward Curve'!H31/100</f>
        <v>0.0433193903</v>
      </c>
      <c r="F30" s="98">
        <f>E30+$C$12</f>
        <v>0.053319390300000005</v>
      </c>
      <c r="G30" s="98">
        <f>E30+$C$13</f>
        <v>0.0633193903</v>
      </c>
      <c r="H30" s="98">
        <f>MAX(E$29:E30)</f>
        <v>0.0433193903</v>
      </c>
      <c r="I30" s="101">
        <f>MAX(0,MIN(C30,$C$18)-MAX(B30,$C$17))</f>
        <v>90</v>
      </c>
      <c r="J30" s="117">
        <f>(C30-B30)/$C$25</f>
        <v>0.25</v>
      </c>
      <c r="K30" s="131">
        <f>K29/(1+E30*J30)</f>
        <v>0.9791438103856345</v>
      </c>
      <c r="L30" s="117">
        <f>I30/$C$25</f>
        <v>0.25</v>
      </c>
      <c r="N30" s="101">
        <f>MAX(0,MIN($C30,N$27,$C$18)-MAX($B30,$C$17,EDATE(N$27,-12)))</f>
        <v>0</v>
      </c>
      <c r="O30" s="101">
        <f>MAX(0,MIN($C30,O$27,$C$18)-MAX($B30,$C$17,EDATE(O$27,-12)))</f>
        <v>90</v>
      </c>
      <c r="P30" s="101">
        <f>MAX(0,MIN($C30,P$27,$C$18)-MAX($B30,$C$17,EDATE(P$27,-12)))</f>
        <v>0</v>
      </c>
      <c r="Q30" s="101">
        <f>MAX(0,MIN($C30,Q$27,$C$18)-MAX($B30,$C$17,EDATE(Q$27,-12)))</f>
        <v>0</v>
      </c>
      <c r="R30" s="101">
        <f>MAX(0,MIN($C30,R$27,$C$18)-MAX($B30,$C$17,EDATE(R$27,-12)))</f>
        <v>0</v>
      </c>
      <c r="S30" s="101">
        <f>MAX(0,MIN($C30,S$27,$C$18)-MAX($B30,$C$17,EDATE(S$27,-12)))</f>
        <v>0</v>
      </c>
    </row>
    <row r="31">
      <c r="B31" s="116">
        <f>'Forward Curve'!B32</f>
        <v>46506</v>
      </c>
      <c r="C31" s="97">
        <f>'Forward Curve'!E32</f>
        <v>46597</v>
      </c>
      <c r="D31" s="98">
        <f>'Term Sheet'!$C$9</f>
        <v>0.0353</v>
      </c>
      <c r="E31" s="98">
        <f>'Forward Curve'!H32/100</f>
        <v>0.045542356799999996</v>
      </c>
      <c r="F31" s="98">
        <f>E31+$C$12</f>
        <v>0.0555423568</v>
      </c>
      <c r="G31" s="98">
        <f>E31+$C$13</f>
        <v>0.06554235679999999</v>
      </c>
      <c r="H31" s="98">
        <f>MAX(E$29:E31)</f>
        <v>0.045542356799999996</v>
      </c>
      <c r="I31" s="101">
        <f>MAX(0,MIN(C31,$C$18)-MAX(B31,$C$17))</f>
        <v>91</v>
      </c>
      <c r="J31" s="117">
        <f>(C31-B31)/$C$25</f>
        <v>0.25277777777777777</v>
      </c>
      <c r="K31" s="131">
        <f>K30/(1+E31*J31)</f>
        <v>0.9680001005453732</v>
      </c>
      <c r="L31" s="117">
        <f>I31/$C$25</f>
        <v>0.25277777777777777</v>
      </c>
      <c r="N31" s="101">
        <f>MAX(0,MIN($C31,N$27,$C$18)-MAX($B31,$C$17,EDATE(N$27,-12)))</f>
        <v>0</v>
      </c>
      <c r="O31" s="101">
        <f>MAX(0,MIN($C31,O$27,$C$18)-MAX($B31,$C$17,EDATE(O$27,-12)))</f>
        <v>91</v>
      </c>
      <c r="P31" s="101">
        <f>MAX(0,MIN($C31,P$27,$C$18)-MAX($B31,$C$17,EDATE(P$27,-12)))</f>
        <v>0</v>
      </c>
      <c r="Q31" s="101">
        <f>MAX(0,MIN($C31,Q$27,$C$18)-MAX($B31,$C$17,EDATE(Q$27,-12)))</f>
        <v>0</v>
      </c>
      <c r="R31" s="101">
        <f>MAX(0,MIN($C31,R$27,$C$18)-MAX($B31,$C$17,EDATE(R$27,-12)))</f>
        <v>0</v>
      </c>
      <c r="S31" s="101">
        <f>MAX(0,MIN($C31,S$27,$C$18)-MAX($B31,$C$17,EDATE(S$27,-12)))</f>
        <v>0</v>
      </c>
    </row>
    <row r="32">
      <c r="B32" s="116">
        <f>'Forward Curve'!B33</f>
        <v>46597</v>
      </c>
      <c r="C32" s="97">
        <f>'Forward Curve'!E33</f>
        <v>46689</v>
      </c>
      <c r="D32" s="98">
        <f>'Term Sheet'!$C$9</f>
        <v>0.0353</v>
      </c>
      <c r="E32" s="98">
        <f>'Forward Curve'!H33/100</f>
        <v>0.0466397568</v>
      </c>
      <c r="F32" s="98">
        <f>E32+$C$12</f>
        <v>0.0566397568</v>
      </c>
      <c r="G32" s="98">
        <f>E32+$C$13</f>
        <v>0.0666397568</v>
      </c>
      <c r="H32" s="98">
        <f>MAX(E$29:E32)</f>
        <v>0.0466397568</v>
      </c>
      <c r="I32" s="101">
        <f>MAX(0,MIN(C32,$C$18)-MAX(B32,$C$17))</f>
        <v>92</v>
      </c>
      <c r="J32" s="117">
        <f>(C32-B32)/$C$25</f>
        <v>0.25555555555555554</v>
      </c>
      <c r="K32" s="131">
        <f>K31/(1+E32*J32)</f>
        <v>0.9565983578827135</v>
      </c>
      <c r="L32" s="117">
        <f>I32/$C$25</f>
        <v>0.25555555555555554</v>
      </c>
      <c r="N32" s="101">
        <f>MAX(0,MIN($C32,N$27,$C$18)-MAX($B32,$C$17,EDATE(N$27,-12)))</f>
        <v>0</v>
      </c>
      <c r="O32" s="101">
        <f>MAX(0,MIN($C32,O$27,$C$18)-MAX($B32,$C$17,EDATE(O$27,-12)))</f>
        <v>92</v>
      </c>
      <c r="P32" s="101">
        <f>MAX(0,MIN($C32,P$27,$C$18)-MAX($B32,$C$17,EDATE(P$27,-12)))</f>
        <v>0</v>
      </c>
      <c r="Q32" s="101">
        <f>MAX(0,MIN($C32,Q$27,$C$18)-MAX($B32,$C$17,EDATE(Q$27,-12)))</f>
        <v>0</v>
      </c>
      <c r="R32" s="101">
        <f>MAX(0,MIN($C32,R$27,$C$18)-MAX($B32,$C$17,EDATE(R$27,-12)))</f>
        <v>0</v>
      </c>
      <c r="S32" s="101">
        <f>MAX(0,MIN($C32,S$27,$C$18)-MAX($B32,$C$17,EDATE(S$27,-12)))</f>
        <v>0</v>
      </c>
    </row>
    <row r="33">
      <c r="B33" s="116">
        <f>'Forward Curve'!B34</f>
        <v>46689</v>
      </c>
      <c r="C33" s="97">
        <f>'Forward Curve'!E34</f>
        <v>46783</v>
      </c>
      <c r="D33" s="98">
        <f>'Term Sheet'!$C$9</f>
        <v>0.0353</v>
      </c>
      <c r="E33" s="98">
        <f>'Forward Curve'!H34/100</f>
        <v>0.0465916397</v>
      </c>
      <c r="F33" s="98">
        <f>E33+$C$12</f>
        <v>0.0565916397</v>
      </c>
      <c r="G33" s="98">
        <f>E33+$C$13</f>
        <v>0.0665916397</v>
      </c>
      <c r="H33" s="98">
        <f>MAX(E$29:E33)</f>
        <v>0.0466397568</v>
      </c>
      <c r="I33" s="101">
        <f>MAX(0,MIN(C33,$C$18)-MAX(B33,$C$17))</f>
        <v>94</v>
      </c>
      <c r="J33" s="117">
        <f>(C33-B33)/$C$25</f>
        <v>0.2611111111111111</v>
      </c>
      <c r="K33" s="131">
        <f>K32/(1+E33*J33)</f>
        <v>0.9451006463638568</v>
      </c>
      <c r="L33" s="117">
        <f>I33/$C$25</f>
        <v>0.2611111111111111</v>
      </c>
      <c r="N33" s="101">
        <f>MAX(0,MIN($C33,N$27,$C$18)-MAX($B33,$C$17,EDATE(N$27,-12)))</f>
        <v>0</v>
      </c>
      <c r="O33" s="101">
        <f>MAX(0,MIN($C33,O$27,$C$18)-MAX($B33,$C$17,EDATE(O$27,-12)))</f>
        <v>63</v>
      </c>
      <c r="P33" s="101">
        <f>MAX(0,MIN($C33,P$27,$C$18)-MAX($B33,$C$17,EDATE(P$27,-12)))</f>
        <v>31</v>
      </c>
      <c r="Q33" s="101">
        <f>MAX(0,MIN($C33,Q$27,$C$18)-MAX($B33,$C$17,EDATE(Q$27,-12)))</f>
        <v>0</v>
      </c>
      <c r="R33" s="101">
        <f>MAX(0,MIN($C33,R$27,$C$18)-MAX($B33,$C$17,EDATE(R$27,-12)))</f>
        <v>0</v>
      </c>
      <c r="S33" s="101">
        <f>MAX(0,MIN($C33,S$27,$C$18)-MAX($B33,$C$17,EDATE(S$27,-12)))</f>
        <v>0</v>
      </c>
    </row>
    <row r="34">
      <c r="B34" s="116">
        <f>'Forward Curve'!B35</f>
        <v>46783</v>
      </c>
      <c r="C34" s="97">
        <f>'Forward Curve'!E35</f>
        <v>46871</v>
      </c>
      <c r="D34" s="98">
        <f>'Term Sheet'!$C$9</f>
        <v>0.0353</v>
      </c>
      <c r="E34" s="98">
        <f>'Forward Curve'!H35/100</f>
        <v>0.0463269524</v>
      </c>
      <c r="F34" s="98">
        <f>E34+$C$12</f>
        <v>0.056326952400000005</v>
      </c>
      <c r="G34" s="98">
        <f>E34+$C$13</f>
        <v>0.0663269524</v>
      </c>
      <c r="H34" s="98">
        <f>MAX(E$29:E34)</f>
        <v>0.0466397568</v>
      </c>
      <c r="I34" s="101">
        <f>MAX(0,MIN(C34,$C$18)-MAX(B34,$C$17))</f>
        <v>88</v>
      </c>
      <c r="J34" s="117">
        <f>(C34-B34)/$C$25</f>
        <v>0.24444444444444444</v>
      </c>
      <c r="K34" s="131">
        <f>K33/(1+E34*J34)</f>
        <v>0.9345178243544343</v>
      </c>
      <c r="L34" s="117">
        <f>I34/$C$25</f>
        <v>0.24444444444444444</v>
      </c>
      <c r="N34" s="101">
        <f>MAX(0,MIN($C34,N$27,$C$18)-MAX($B34,$C$17,EDATE(N$27,-12)))</f>
        <v>0</v>
      </c>
      <c r="O34" s="101">
        <f>MAX(0,MIN($C34,O$27,$C$18)-MAX($B34,$C$17,EDATE(O$27,-12)))</f>
        <v>0</v>
      </c>
      <c r="P34" s="101">
        <f>MAX(0,MIN($C34,P$27,$C$18)-MAX($B34,$C$17,EDATE(P$27,-12)))</f>
        <v>88</v>
      </c>
      <c r="Q34" s="101">
        <f>MAX(0,MIN($C34,Q$27,$C$18)-MAX($B34,$C$17,EDATE(Q$27,-12)))</f>
        <v>0</v>
      </c>
      <c r="R34" s="101">
        <f>MAX(0,MIN($C34,R$27,$C$18)-MAX($B34,$C$17,EDATE(R$27,-12)))</f>
        <v>0</v>
      </c>
      <c r="S34" s="101">
        <f>MAX(0,MIN($C34,S$27,$C$18)-MAX($B34,$C$17,EDATE(S$27,-12)))</f>
        <v>0</v>
      </c>
    </row>
    <row r="35">
      <c r="B35" s="116">
        <f>'Forward Curve'!B36</f>
        <v>46871</v>
      </c>
      <c r="C35" s="97">
        <f>'Forward Curve'!E36</f>
        <v>46965</v>
      </c>
      <c r="D35" s="98">
        <f>'Term Sheet'!$C$9</f>
        <v>0.0353</v>
      </c>
      <c r="E35" s="98">
        <f>'Forward Curve'!H36/100</f>
        <v>0.046099539099999996</v>
      </c>
      <c r="F35" s="98">
        <f>E35+$C$12</f>
        <v>0.0560995391</v>
      </c>
      <c r="G35" s="98">
        <f>E35+$C$13</f>
        <v>0.0660995391</v>
      </c>
      <c r="H35" s="98">
        <f>MAX(E$29:E35)</f>
        <v>0.0466397568</v>
      </c>
      <c r="I35" s="101">
        <f>MAX(0,MIN(C35,$C$18)-MAX(B35,$C$17))</f>
        <v>94</v>
      </c>
      <c r="J35" s="117">
        <f>(C35-B35)/$C$25</f>
        <v>0.2611111111111111</v>
      </c>
      <c r="K35" s="131">
        <f>K34/(1+E35*J35)</f>
        <v>0.9234027316014681</v>
      </c>
      <c r="L35" s="117">
        <f>I35/$C$25</f>
        <v>0.2611111111111111</v>
      </c>
      <c r="N35" s="101">
        <f>MAX(0,MIN($C35,N$27,$C$18)-MAX($B35,$C$17,EDATE(N$27,-12)))</f>
        <v>0</v>
      </c>
      <c r="O35" s="101">
        <f>MAX(0,MIN($C35,O$27,$C$18)-MAX($B35,$C$17,EDATE(O$27,-12)))</f>
        <v>0</v>
      </c>
      <c r="P35" s="101">
        <f>MAX(0,MIN($C35,P$27,$C$18)-MAX($B35,$C$17,EDATE(P$27,-12)))</f>
        <v>94</v>
      </c>
      <c r="Q35" s="101">
        <f>MAX(0,MIN($C35,Q$27,$C$18)-MAX($B35,$C$17,EDATE(Q$27,-12)))</f>
        <v>0</v>
      </c>
      <c r="R35" s="101">
        <f>MAX(0,MIN($C35,R$27,$C$18)-MAX($B35,$C$17,EDATE(R$27,-12)))</f>
        <v>0</v>
      </c>
      <c r="S35" s="101">
        <f>MAX(0,MIN($C35,S$27,$C$18)-MAX($B35,$C$17,EDATE(S$27,-12)))</f>
        <v>0</v>
      </c>
    </row>
    <row r="36">
      <c r="B36" s="116">
        <f>'Forward Curve'!B37</f>
        <v>46965</v>
      </c>
      <c r="C36" s="97">
        <f>'Forward Curve'!E37</f>
        <v>47056</v>
      </c>
      <c r="D36" s="98">
        <f>'Term Sheet'!$C$9</f>
        <v>0.0353</v>
      </c>
      <c r="E36" s="98">
        <f>'Forward Curve'!H37/100</f>
        <v>0.0457602335</v>
      </c>
      <c r="F36" s="98">
        <f>E36+$C$12</f>
        <v>0.0557602335</v>
      </c>
      <c r="G36" s="98">
        <f>E36+$C$13</f>
        <v>0.0657602335</v>
      </c>
      <c r="H36" s="98">
        <f>MAX(E$29:E36)</f>
        <v>0.0466397568</v>
      </c>
      <c r="I36" s="101">
        <f>MAX(0,MIN(C36,$C$18)-MAX(B36,$C$17))</f>
        <v>91</v>
      </c>
      <c r="J36" s="117">
        <f>(C36-B36)/$C$25</f>
        <v>0.25277777777777777</v>
      </c>
      <c r="K36" s="131">
        <f>K35/(1+E36*J36)</f>
        <v>0.912843713066022</v>
      </c>
      <c r="L36" s="117">
        <f>I36/$C$25</f>
        <v>0.25277777777777777</v>
      </c>
      <c r="N36" s="101">
        <f>MAX(0,MIN($C36,N$27,$C$18)-MAX($B36,$C$17,EDATE(N$27,-12)))</f>
        <v>0</v>
      </c>
      <c r="O36" s="101">
        <f>MAX(0,MIN($C36,O$27,$C$18)-MAX($B36,$C$17,EDATE(O$27,-12)))</f>
        <v>0</v>
      </c>
      <c r="P36" s="101">
        <f>MAX(0,MIN($C36,P$27,$C$18)-MAX($B36,$C$17,EDATE(P$27,-12)))</f>
        <v>91</v>
      </c>
      <c r="Q36" s="101">
        <f>MAX(0,MIN($C36,Q$27,$C$18)-MAX($B36,$C$17,EDATE(Q$27,-12)))</f>
        <v>0</v>
      </c>
      <c r="R36" s="101">
        <f>MAX(0,MIN($C36,R$27,$C$18)-MAX($B36,$C$17,EDATE(R$27,-12)))</f>
        <v>0</v>
      </c>
      <c r="S36" s="101">
        <f>MAX(0,MIN($C36,S$27,$C$18)-MAX($B36,$C$17,EDATE(S$27,-12)))</f>
        <v>0</v>
      </c>
    </row>
    <row r="37">
      <c r="B37" s="116">
        <f>'Forward Curve'!B38</f>
        <v>47056</v>
      </c>
      <c r="C37" s="97">
        <f>'Forward Curve'!E38</f>
        <v>47147</v>
      </c>
      <c r="D37" s="98">
        <f>'Term Sheet'!$C$9</f>
        <v>0.0353</v>
      </c>
      <c r="E37" s="98">
        <f>'Forward Curve'!H38/100</f>
        <v>0.045349028699999995</v>
      </c>
      <c r="F37" s="98">
        <f>E37+$C$12</f>
        <v>0.0553490287</v>
      </c>
      <c r="G37" s="98">
        <f>E37+$C$13</f>
        <v>0.06534902869999999</v>
      </c>
      <c r="H37" s="98">
        <f>MAX(E$29:E37)</f>
        <v>0.0466397568</v>
      </c>
      <c r="I37" s="101">
        <f>MAX(0,MIN(C37,$C$18)-MAX(B37,$C$17))</f>
        <v>91</v>
      </c>
      <c r="J37" s="117">
        <f>(C37-B37)/$C$25</f>
        <v>0.25277777777777777</v>
      </c>
      <c r="K37" s="131">
        <f>K36/(1+E37*J37)</f>
        <v>0.9024981719256546</v>
      </c>
      <c r="L37" s="117">
        <f>I37/$C$25</f>
        <v>0.25277777777777777</v>
      </c>
      <c r="N37" s="101">
        <f>MAX(0,MIN($C37,N$27,$C$18)-MAX($B37,$C$17,EDATE(N$27,-12)))</f>
        <v>0</v>
      </c>
      <c r="O37" s="101">
        <f>MAX(0,MIN($C37,O$27,$C$18)-MAX($B37,$C$17,EDATE(O$27,-12)))</f>
        <v>0</v>
      </c>
      <c r="P37" s="101">
        <f>MAX(0,MIN($C37,P$27,$C$18)-MAX($B37,$C$17,EDATE(P$27,-12)))</f>
        <v>62</v>
      </c>
      <c r="Q37" s="101">
        <f>MAX(0,MIN($C37,Q$27,$C$18)-MAX($B37,$C$17,EDATE(Q$27,-12)))</f>
        <v>29</v>
      </c>
      <c r="R37" s="101">
        <f>MAX(0,MIN($C37,R$27,$C$18)-MAX($B37,$C$17,EDATE(R$27,-12)))</f>
        <v>0</v>
      </c>
      <c r="S37" s="101">
        <f>MAX(0,MIN($C37,S$27,$C$18)-MAX($B37,$C$17,EDATE(S$27,-12)))</f>
        <v>0</v>
      </c>
    </row>
    <row r="38">
      <c r="B38" s="116">
        <f>'Forward Curve'!B39</f>
        <v>47147</v>
      </c>
      <c r="C38" s="97">
        <f>'Forward Curve'!E39</f>
        <v>47238</v>
      </c>
      <c r="D38" s="98">
        <f>'Term Sheet'!$C$9</f>
        <v>0.0353</v>
      </c>
      <c r="E38" s="98">
        <f>'Forward Curve'!H39/100</f>
        <v>0.0451139882</v>
      </c>
      <c r="F38" s="98">
        <f>E38+$C$12</f>
        <v>0.055113988200000005</v>
      </c>
      <c r="G38" s="98">
        <f>E38+$C$13</f>
        <v>0.0651139882</v>
      </c>
      <c r="H38" s="98">
        <f>MAX(E$29:E38)</f>
        <v>0.0466397568</v>
      </c>
      <c r="I38" s="101">
        <f>MAX(0,MIN(C38,$C$18)-MAX(B38,$C$17))</f>
        <v>91</v>
      </c>
      <c r="J38" s="117">
        <f>(C38-B38)/$C$25</f>
        <v>0.25277777777777777</v>
      </c>
      <c r="K38" s="131">
        <f>K37/(1+E38*J38)</f>
        <v>0.892322294730567</v>
      </c>
      <c r="L38" s="117">
        <f>I38/$C$25</f>
        <v>0.25277777777777777</v>
      </c>
      <c r="N38" s="101">
        <f>MAX(0,MIN($C38,N$27,$C$18)-MAX($B38,$C$17,EDATE(N$27,-12)))</f>
        <v>0</v>
      </c>
      <c r="O38" s="101">
        <f>MAX(0,MIN($C38,O$27,$C$18)-MAX($B38,$C$17,EDATE(O$27,-12)))</f>
        <v>0</v>
      </c>
      <c r="P38" s="101">
        <f>MAX(0,MIN($C38,P$27,$C$18)-MAX($B38,$C$17,EDATE(P$27,-12)))</f>
        <v>0</v>
      </c>
      <c r="Q38" s="101">
        <f>MAX(0,MIN($C38,Q$27,$C$18)-MAX($B38,$C$17,EDATE(Q$27,-12)))</f>
        <v>91</v>
      </c>
      <c r="R38" s="101">
        <f>MAX(0,MIN($C38,R$27,$C$18)-MAX($B38,$C$17,EDATE(R$27,-12)))</f>
        <v>0</v>
      </c>
      <c r="S38" s="101">
        <f>MAX(0,MIN($C38,S$27,$C$18)-MAX($B38,$C$17,EDATE(S$27,-12)))</f>
        <v>0</v>
      </c>
    </row>
    <row r="39">
      <c r="B39" s="116">
        <f>'Forward Curve'!B40</f>
        <v>47238</v>
      </c>
      <c r="C39" s="97">
        <f>'Forward Curve'!E40</f>
        <v>47329</v>
      </c>
      <c r="D39" s="98">
        <f>'Term Sheet'!$C$9</f>
        <v>0.0353</v>
      </c>
      <c r="E39" s="98">
        <f>'Forward Curve'!H40/100</f>
        <v>0.0449045658</v>
      </c>
      <c r="F39" s="98">
        <f>E39+$C$12</f>
        <v>0.0549045658</v>
      </c>
      <c r="G39" s="98">
        <f>E39+$C$13</f>
        <v>0.0649045658</v>
      </c>
      <c r="H39" s="98">
        <f>MAX(E$29:E39)</f>
        <v>0.0466397568</v>
      </c>
      <c r="I39" s="101">
        <f>MAX(0,MIN(C39,$C$18)-MAX(B39,$C$17))</f>
        <v>56</v>
      </c>
      <c r="J39" s="117">
        <f>(C39-B39)/$C$25</f>
        <v>0.25277777777777777</v>
      </c>
      <c r="K39" s="131">
        <f>K38/(1+E39*J39)</f>
        <v>0.8823073332833578</v>
      </c>
      <c r="L39" s="117">
        <f>I39/$C$25</f>
        <v>0.15555555555555556</v>
      </c>
      <c r="N39" s="101">
        <f>MAX(0,MIN($C39,N$27,$C$18)-MAX($B39,$C$17,EDATE(N$27,-12)))</f>
        <v>0</v>
      </c>
      <c r="O39" s="101">
        <f>MAX(0,MIN($C39,O$27,$C$18)-MAX($B39,$C$17,EDATE(O$27,-12)))</f>
        <v>0</v>
      </c>
      <c r="P39" s="101">
        <f>MAX(0,MIN($C39,P$27,$C$18)-MAX($B39,$C$17,EDATE(P$27,-12)))</f>
        <v>0</v>
      </c>
      <c r="Q39" s="101">
        <f>MAX(0,MIN($C39,Q$27,$C$18)-MAX($B39,$C$17,EDATE(Q$27,-12)))</f>
        <v>56</v>
      </c>
      <c r="R39" s="101">
        <f>MAX(0,MIN($C39,R$27,$C$18)-MAX($B39,$C$17,EDATE(R$27,-12)))</f>
        <v>0</v>
      </c>
      <c r="S39" s="101">
        <f>MAX(0,MIN($C39,S$27,$C$18)-MAX($B39,$C$17,EDATE(S$27,-12)))</f>
        <v>0</v>
      </c>
    </row>
    <row r="40">
      <c r="B40" s="116">
        <f>'Forward Curve'!B41</f>
        <v>47329</v>
      </c>
      <c r="C40" s="97">
        <f>'Forward Curve'!E41</f>
        <v>47420</v>
      </c>
      <c r="D40" s="98">
        <f>'Term Sheet'!$C$9</f>
        <v>0.0353</v>
      </c>
      <c r="E40" s="98">
        <f>'Forward Curve'!H41/100</f>
        <v>0.0447207575</v>
      </c>
      <c r="F40" s="98">
        <f>E40+$C$12</f>
        <v>0.0547207575</v>
      </c>
      <c r="G40" s="98">
        <f>E40+$C$13</f>
        <v>0.0647207575</v>
      </c>
      <c r="H40" s="98">
        <f>MAX(E$29:E40)</f>
        <v>0.0466397568</v>
      </c>
      <c r="I40" s="101">
        <f>MAX(0,MIN(C40,$C$18)-MAX(B40,$C$17))</f>
        <v>0</v>
      </c>
      <c r="J40" s="117">
        <f>(C40-B40)/$C$25</f>
        <v>0.25277777777777777</v>
      </c>
      <c r="K40" s="131">
        <f>K39/(1+E40*J40)</f>
        <v>0.8724448557028442</v>
      </c>
      <c r="L40" s="117">
        <f>I40/$C$25</f>
        <v>0</v>
      </c>
      <c r="N40" s="101">
        <f>MAX(0,MIN($C40,N$27,$C$18)-MAX($B40,$C$17,EDATE(N$27,-12)))</f>
        <v>0</v>
      </c>
      <c r="O40" s="101">
        <f>MAX(0,MIN($C40,O$27,$C$18)-MAX($B40,$C$17,EDATE(O$27,-12)))</f>
        <v>0</v>
      </c>
      <c r="P40" s="101">
        <f>MAX(0,MIN($C40,P$27,$C$18)-MAX($B40,$C$17,EDATE(P$27,-12)))</f>
        <v>0</v>
      </c>
      <c r="Q40" s="101">
        <f>MAX(0,MIN($C40,Q$27,$C$18)-MAX($B40,$C$17,EDATE(Q$27,-12)))</f>
        <v>0</v>
      </c>
      <c r="R40" s="101">
        <f>MAX(0,MIN($C40,R$27,$C$18)-MAX($B40,$C$17,EDATE(R$27,-12)))</f>
        <v>0</v>
      </c>
      <c r="S40" s="101">
        <f>MAX(0,MIN($C40,S$27,$C$18)-MAX($B40,$C$17,EDATE(S$27,-12)))</f>
        <v>0</v>
      </c>
    </row>
    <row r="41">
      <c r="B41" s="116">
        <f>'Forward Curve'!B42</f>
        <v>47420</v>
      </c>
      <c r="C41" s="97">
        <f>'Forward Curve'!E42</f>
        <v>47512</v>
      </c>
      <c r="D41" s="98">
        <f>'Term Sheet'!$C$9</f>
        <v>0.0353</v>
      </c>
      <c r="E41" s="98">
        <f>'Forward Curve'!H42/100</f>
        <v>0.0444936997</v>
      </c>
      <c r="F41" s="98">
        <f>E41+$C$12</f>
        <v>0.0544936997</v>
      </c>
      <c r="G41" s="98">
        <f>E41+$C$13</f>
        <v>0.0644936997</v>
      </c>
      <c r="H41" s="98">
        <f>MAX(E$29:E41)</f>
        <v>0.0466397568</v>
      </c>
      <c r="I41" s="101">
        <f>MAX(0,MIN(C41,$C$18)-MAX(B41,$C$17))</f>
        <v>0</v>
      </c>
      <c r="J41" s="117">
        <f>(C41-B41)/$C$25</f>
        <v>0.25555555555555554</v>
      </c>
      <c r="K41" s="131">
        <f>K40/(1+E41*J41)</f>
        <v>0.8626361545665348</v>
      </c>
      <c r="L41" s="117">
        <f>I41/$C$25</f>
        <v>0</v>
      </c>
      <c r="N41" s="101">
        <f>MAX(0,MIN($C41,N$27,$C$18)-MAX($B41,$C$17,EDATE(N$27,-12)))</f>
        <v>0</v>
      </c>
      <c r="O41" s="101">
        <f>MAX(0,MIN($C41,O$27,$C$18)-MAX($B41,$C$17,EDATE(O$27,-12)))</f>
        <v>0</v>
      </c>
      <c r="P41" s="101">
        <f>MAX(0,MIN($C41,P$27,$C$18)-MAX($B41,$C$17,EDATE(P$27,-12)))</f>
        <v>0</v>
      </c>
      <c r="Q41" s="101">
        <f>MAX(0,MIN($C41,Q$27,$C$18)-MAX($B41,$C$17,EDATE(Q$27,-12)))</f>
        <v>0</v>
      </c>
      <c r="R41" s="101">
        <f>MAX(0,MIN($C41,R$27,$C$18)-MAX($B41,$C$17,EDATE(R$27,-12)))</f>
        <v>0</v>
      </c>
      <c r="S41" s="101">
        <f>MAX(0,MIN($C41,S$27,$C$18)-MAX($B41,$C$17,EDATE(S$27,-12)))</f>
        <v>0</v>
      </c>
    </row>
    <row r="42">
      <c r="B42" s="116">
        <f>'Forward Curve'!B43</f>
        <v>47512</v>
      </c>
      <c r="C42" s="97">
        <f>'Forward Curve'!E43</f>
        <v>47602</v>
      </c>
      <c r="D42" s="98">
        <f>'Term Sheet'!$C$9</f>
        <v>0.0353</v>
      </c>
      <c r="E42" s="98">
        <f>'Forward Curve'!H43/100</f>
        <v>0.044263831299999994</v>
      </c>
      <c r="F42" s="98">
        <f>E42+$C$12</f>
        <v>0.054263831299999996</v>
      </c>
      <c r="G42" s="98">
        <f>E42+$C$13</f>
        <v>0.06426383129999999</v>
      </c>
      <c r="H42" s="98">
        <f>MAX(E$29:E42)</f>
        <v>0.0466397568</v>
      </c>
      <c r="I42" s="101">
        <f>MAX(0,MIN(C42,$C$18)-MAX(B42,$C$17))</f>
        <v>0</v>
      </c>
      <c r="J42" s="117">
        <f>(C42-B42)/$C$25</f>
        <v>0.25</v>
      </c>
      <c r="K42" s="131">
        <f>K41/(1+E42*J42)</f>
        <v>0.8531947375839191</v>
      </c>
      <c r="L42" s="117">
        <f>I42/$C$25</f>
        <v>0</v>
      </c>
      <c r="N42" s="101">
        <f>MAX(0,MIN($C42,N$27,$C$18)-MAX($B42,$C$17,EDATE(N$27,-12)))</f>
        <v>0</v>
      </c>
      <c r="O42" s="101">
        <f>MAX(0,MIN($C42,O$27,$C$18)-MAX($B42,$C$17,EDATE(O$27,-12)))</f>
        <v>0</v>
      </c>
      <c r="P42" s="101">
        <f>MAX(0,MIN($C42,P$27,$C$18)-MAX($B42,$C$17,EDATE(P$27,-12)))</f>
        <v>0</v>
      </c>
      <c r="Q42" s="101">
        <f>MAX(0,MIN($C42,Q$27,$C$18)-MAX($B42,$C$17,EDATE(Q$27,-12)))</f>
        <v>0</v>
      </c>
      <c r="R42" s="101">
        <f>MAX(0,MIN($C42,R$27,$C$18)-MAX($B42,$C$17,EDATE(R$27,-12)))</f>
        <v>0</v>
      </c>
      <c r="S42" s="101">
        <f>MAX(0,MIN($C42,S$27,$C$18)-MAX($B42,$C$17,EDATE(S$27,-12)))</f>
        <v>0</v>
      </c>
    </row>
    <row r="43">
      <c r="B43" s="116">
        <f>'Forward Curve'!B44</f>
        <v>47602</v>
      </c>
      <c r="C43" s="97">
        <f>'Forward Curve'!E44</f>
        <v>47693</v>
      </c>
      <c r="D43" s="98">
        <f>'Term Sheet'!$C$9</f>
        <v>0.0353</v>
      </c>
      <c r="E43" s="98">
        <f>'Forward Curve'!H44/100</f>
        <v>0.0441406939</v>
      </c>
      <c r="F43" s="98">
        <f>E43+$C$12</f>
        <v>0.0541406939</v>
      </c>
      <c r="G43" s="98">
        <f>E43+$C$13</f>
        <v>0.0641406939</v>
      </c>
      <c r="H43" s="98">
        <f>MAX(E$29:E43)</f>
        <v>0.0466397568</v>
      </c>
      <c r="I43" s="101">
        <f>MAX(0,MIN(C43,$C$18)-MAX(B43,$C$17))</f>
        <v>0</v>
      </c>
      <c r="J43" s="117">
        <f>(C43-B43)/$C$25</f>
        <v>0.25277777777777777</v>
      </c>
      <c r="K43" s="131">
        <f>K42/(1+E43*J43)</f>
        <v>0.8437800202534802</v>
      </c>
      <c r="L43" s="117">
        <f>I43/$C$25</f>
        <v>0</v>
      </c>
      <c r="N43" s="101">
        <f>MAX(0,MIN($C43,N$27,$C$18)-MAX($B43,$C$17,EDATE(N$27,-12)))</f>
        <v>0</v>
      </c>
      <c r="O43" s="101">
        <f>MAX(0,MIN($C43,O$27,$C$18)-MAX($B43,$C$17,EDATE(O$27,-12)))</f>
        <v>0</v>
      </c>
      <c r="P43" s="101">
        <f>MAX(0,MIN($C43,P$27,$C$18)-MAX($B43,$C$17,EDATE(P$27,-12)))</f>
        <v>0</v>
      </c>
      <c r="Q43" s="101">
        <f>MAX(0,MIN($C43,Q$27,$C$18)-MAX($B43,$C$17,EDATE(Q$27,-12)))</f>
        <v>0</v>
      </c>
      <c r="R43" s="101">
        <f>MAX(0,MIN($C43,R$27,$C$18)-MAX($B43,$C$17,EDATE(R$27,-12)))</f>
        <v>0</v>
      </c>
      <c r="S43" s="101">
        <f>MAX(0,MIN($C43,S$27,$C$18)-MAX($B43,$C$17,EDATE(S$27,-12)))</f>
        <v>0</v>
      </c>
    </row>
    <row r="44">
      <c r="B44" s="116">
        <f>'Forward Curve'!B45</f>
        <v>47693</v>
      </c>
      <c r="C44" s="97">
        <f>'Forward Curve'!E45</f>
        <v>47785</v>
      </c>
      <c r="D44" s="98">
        <f>'Term Sheet'!$C$9</f>
        <v>0.0353</v>
      </c>
      <c r="E44" s="98">
        <f>'Forward Curve'!H45/100</f>
        <v>0.044114549700000005</v>
      </c>
      <c r="F44" s="98">
        <f>E44+$C$12</f>
        <v>0.05411454970000001</v>
      </c>
      <c r="G44" s="98">
        <f>E44+$C$13</f>
        <v>0.06411454970000001</v>
      </c>
      <c r="H44" s="98">
        <f>MAX(E$29:E44)</f>
        <v>0.0466397568</v>
      </c>
      <c r="I44" s="101">
        <f>MAX(0,MIN(C44,$C$18)-MAX(B44,$C$17))</f>
        <v>0</v>
      </c>
      <c r="J44" s="117">
        <f>(C44-B44)/$C$25</f>
        <v>0.25555555555555554</v>
      </c>
      <c r="K44" s="131">
        <f>K43/(1+E44*J44)</f>
        <v>0.834373528176003</v>
      </c>
      <c r="L44" s="117">
        <f>I44/$C$25</f>
        <v>0</v>
      </c>
      <c r="N44" s="101">
        <f>MAX(0,MIN($C44,N$27,$C$18)-MAX($B44,$C$17,EDATE(N$27,-12)))</f>
        <v>0</v>
      </c>
      <c r="O44" s="101">
        <f>MAX(0,MIN($C44,O$27,$C$18)-MAX($B44,$C$17,EDATE(O$27,-12)))</f>
        <v>0</v>
      </c>
      <c r="P44" s="101">
        <f>MAX(0,MIN($C44,P$27,$C$18)-MAX($B44,$C$17,EDATE(P$27,-12)))</f>
        <v>0</v>
      </c>
      <c r="Q44" s="101">
        <f>MAX(0,MIN($C44,Q$27,$C$18)-MAX($B44,$C$17,EDATE(Q$27,-12)))</f>
        <v>0</v>
      </c>
      <c r="R44" s="101">
        <f>MAX(0,MIN($C44,R$27,$C$18)-MAX($B44,$C$17,EDATE(R$27,-12)))</f>
        <v>0</v>
      </c>
      <c r="S44" s="101">
        <f>MAX(0,MIN($C44,S$27,$C$18)-MAX($B44,$C$17,EDATE(S$27,-12)))</f>
        <v>0</v>
      </c>
    </row>
    <row r="45">
      <c r="B45" s="116">
        <f>'Forward Curve'!B46</f>
        <v>47785</v>
      </c>
      <c r="C45" s="97">
        <f>'Forward Curve'!E46</f>
        <v>47877</v>
      </c>
      <c r="D45" s="98">
        <f>'Term Sheet'!$C$9</f>
        <v>0.0353</v>
      </c>
      <c r="E45" s="98">
        <f>'Forward Curve'!H46/100</f>
        <v>0.0440219189</v>
      </c>
      <c r="F45" s="98">
        <f>E45+$C$12</f>
        <v>0.0540219189</v>
      </c>
      <c r="G45" s="98">
        <f>E45+$C$13</f>
        <v>0.0640219189</v>
      </c>
      <c r="H45" s="98">
        <f>MAX(E$29:E45)</f>
        <v>0.0466397568</v>
      </c>
      <c r="I45" s="101">
        <f>MAX(0,MIN(C45,$C$18)-MAX(B45,$C$17))</f>
        <v>0</v>
      </c>
      <c r="J45" s="117">
        <f>(C45-B45)/$C$25</f>
        <v>0.25555555555555554</v>
      </c>
      <c r="K45" s="131">
        <f>K44/(1+E45*J45)</f>
        <v>0.8250912141116399</v>
      </c>
      <c r="L45" s="117">
        <f>I45/$C$25</f>
        <v>0</v>
      </c>
      <c r="N45" s="101">
        <f>MAX(0,MIN($C45,N$27,$C$18)-MAX($B45,$C$17,EDATE(N$27,-12)))</f>
        <v>0</v>
      </c>
      <c r="O45" s="101">
        <f>MAX(0,MIN($C45,O$27,$C$18)-MAX($B45,$C$17,EDATE(O$27,-12)))</f>
        <v>0</v>
      </c>
      <c r="P45" s="101">
        <f>MAX(0,MIN($C45,P$27,$C$18)-MAX($B45,$C$17,EDATE(P$27,-12)))</f>
        <v>0</v>
      </c>
      <c r="Q45" s="101">
        <f>MAX(0,MIN($C45,Q$27,$C$18)-MAX($B45,$C$17,EDATE(Q$27,-12)))</f>
        <v>0</v>
      </c>
      <c r="R45" s="101">
        <f>MAX(0,MIN($C45,R$27,$C$18)-MAX($B45,$C$17,EDATE(R$27,-12)))</f>
        <v>0</v>
      </c>
      <c r="S45" s="101">
        <f>MAX(0,MIN($C45,S$27,$C$18)-MAX($B45,$C$17,EDATE(S$27,-12)))</f>
        <v>0</v>
      </c>
    </row>
    <row r="46">
      <c r="B46" s="116">
        <f>'Forward Curve'!B47</f>
        <v>47877</v>
      </c>
      <c r="C46" s="97">
        <f>'Forward Curve'!E47</f>
        <v>47967</v>
      </c>
      <c r="D46" s="98">
        <f>'Term Sheet'!$C$9</f>
        <v>0.0353</v>
      </c>
      <c r="E46" s="98">
        <f>'Forward Curve'!H47/100</f>
        <v>0.0439025641</v>
      </c>
      <c r="F46" s="98">
        <f>E46+$C$12</f>
        <v>0.0539025641</v>
      </c>
      <c r="G46" s="98">
        <f>E46+$C$13</f>
        <v>0.0639025641</v>
      </c>
      <c r="H46" s="98">
        <f>MAX(E$29:E46)</f>
        <v>0.0466397568</v>
      </c>
      <c r="I46" s="101">
        <f>MAX(0,MIN(C46,$C$18)-MAX(B46,$C$17))</f>
        <v>0</v>
      </c>
      <c r="J46" s="117">
        <f>(C46-B46)/$C$25</f>
        <v>0.25</v>
      </c>
      <c r="K46" s="131">
        <f>K45/(1+E46*J46)</f>
        <v>0.8161336244215568</v>
      </c>
      <c r="L46" s="117">
        <f>I46/$C$25</f>
        <v>0</v>
      </c>
      <c r="N46" s="101">
        <f>MAX(0,MIN($C46,N$27,$C$18)-MAX($B46,$C$17,EDATE(N$27,-12)))</f>
        <v>0</v>
      </c>
      <c r="O46" s="101">
        <f>MAX(0,MIN($C46,O$27,$C$18)-MAX($B46,$C$17,EDATE(O$27,-12)))</f>
        <v>0</v>
      </c>
      <c r="P46" s="101">
        <f>MAX(0,MIN($C46,P$27,$C$18)-MAX($B46,$C$17,EDATE(P$27,-12)))</f>
        <v>0</v>
      </c>
      <c r="Q46" s="101">
        <f>MAX(0,MIN($C46,Q$27,$C$18)-MAX($B46,$C$17,EDATE(Q$27,-12)))</f>
        <v>0</v>
      </c>
      <c r="R46" s="101">
        <f>MAX(0,MIN($C46,R$27,$C$18)-MAX($B46,$C$17,EDATE(R$27,-12)))</f>
        <v>0</v>
      </c>
      <c r="S46" s="101">
        <f>MAX(0,MIN($C46,S$27,$C$18)-MAX($B46,$C$17,EDATE(S$27,-12)))</f>
        <v>0</v>
      </c>
    </row>
    <row r="47">
      <c r="B47" s="116">
        <f>'Forward Curve'!B48</f>
        <v>47967</v>
      </c>
      <c r="C47" s="97">
        <f>'Forward Curve'!E48</f>
        <v>48058</v>
      </c>
      <c r="D47" s="98">
        <f>'Term Sheet'!$C$9</f>
        <v>0.0353</v>
      </c>
      <c r="E47" s="98">
        <f>'Forward Curve'!H48/100</f>
        <v>0.0439501774</v>
      </c>
      <c r="F47" s="98">
        <f>E47+$C$12</f>
        <v>0.0539501774</v>
      </c>
      <c r="G47" s="98">
        <f>E47+$C$13</f>
        <v>0.0639501774</v>
      </c>
      <c r="H47" s="98">
        <f>MAX(E$29:E47)</f>
        <v>0.0466397568</v>
      </c>
      <c r="I47" s="101">
        <f>MAX(0,MIN(C47,$C$18)-MAX(B47,$C$17))</f>
        <v>0</v>
      </c>
      <c r="J47" s="117">
        <f>(C47-B47)/$C$25</f>
        <v>0.25277777777777777</v>
      </c>
      <c r="K47" s="131">
        <f>K46/(1+E47*J47)</f>
        <v>0.8071663068758809</v>
      </c>
      <c r="L47" s="117">
        <f>I47/$C$25</f>
        <v>0</v>
      </c>
      <c r="N47" s="101">
        <f>MAX(0,MIN($C47,N$27,$C$18)-MAX($B47,$C$17,EDATE(N$27,-12)))</f>
        <v>0</v>
      </c>
      <c r="O47" s="101">
        <f>MAX(0,MIN($C47,O$27,$C$18)-MAX($B47,$C$17,EDATE(O$27,-12)))</f>
        <v>0</v>
      </c>
      <c r="P47" s="101">
        <f>MAX(0,MIN($C47,P$27,$C$18)-MAX($B47,$C$17,EDATE(P$27,-12)))</f>
        <v>0</v>
      </c>
      <c r="Q47" s="101">
        <f>MAX(0,MIN($C47,Q$27,$C$18)-MAX($B47,$C$17,EDATE(Q$27,-12)))</f>
        <v>0</v>
      </c>
      <c r="R47" s="101">
        <f>MAX(0,MIN($C47,R$27,$C$18)-MAX($B47,$C$17,EDATE(R$27,-12)))</f>
        <v>0</v>
      </c>
      <c r="S47" s="101">
        <f>MAX(0,MIN($C47,S$27,$C$18)-MAX($B47,$C$17,EDATE(S$27,-12)))</f>
        <v>0</v>
      </c>
    </row>
    <row r="48">
      <c r="B48" s="116">
        <f>'Forward Curve'!B49</f>
        <v>48058</v>
      </c>
      <c r="C48" s="97">
        <f>'Forward Curve'!E49</f>
        <v>48150</v>
      </c>
      <c r="D48" s="98">
        <f>'Term Sheet'!$C$9</f>
        <v>0.0353</v>
      </c>
      <c r="E48" s="98">
        <f>'Forward Curve'!H49/100</f>
        <v>0.044158398300000005</v>
      </c>
      <c r="F48" s="98">
        <f>E48+$C$12</f>
        <v>0.05415839830000001</v>
      </c>
      <c r="G48" s="98">
        <f>E48+$C$13</f>
        <v>0.0641583983</v>
      </c>
      <c r="H48" s="98">
        <f>MAX(E$29:E48)</f>
        <v>0.0466397568</v>
      </c>
      <c r="I48" s="101">
        <f>MAX(0,MIN(C48,$C$18)-MAX(B48,$C$17))</f>
        <v>0</v>
      </c>
      <c r="J48" s="117">
        <f>(C48-B48)/$C$25</f>
        <v>0.25555555555555554</v>
      </c>
      <c r="K48" s="131">
        <f>K47/(1+E48*J48)</f>
        <v>0.7981591416148703</v>
      </c>
      <c r="L48" s="117">
        <f>I48/$C$25</f>
        <v>0</v>
      </c>
      <c r="N48" s="101">
        <f>MAX(0,MIN($C48,N$27,$C$18)-MAX($B48,$C$17,EDATE(N$27,-12)))</f>
        <v>0</v>
      </c>
      <c r="O48" s="101">
        <f>MAX(0,MIN($C48,O$27,$C$18)-MAX($B48,$C$17,EDATE(O$27,-12)))</f>
        <v>0</v>
      </c>
      <c r="P48" s="101">
        <f>MAX(0,MIN($C48,P$27,$C$18)-MAX($B48,$C$17,EDATE(P$27,-12)))</f>
        <v>0</v>
      </c>
      <c r="Q48" s="101">
        <f>MAX(0,MIN($C48,Q$27,$C$18)-MAX($B48,$C$17,EDATE(Q$27,-12)))</f>
        <v>0</v>
      </c>
      <c r="R48" s="101">
        <f>MAX(0,MIN($C48,R$27,$C$18)-MAX($B48,$C$17,EDATE(R$27,-12)))</f>
        <v>0</v>
      </c>
      <c r="S48" s="101">
        <f>MAX(0,MIN($C48,S$27,$C$18)-MAX($B48,$C$17,EDATE(S$27,-12)))</f>
        <v>0</v>
      </c>
    </row>
    <row r="49">
      <c r="B49" s="116">
        <f>'Forward Curve'!B50</f>
        <v>48150</v>
      </c>
      <c r="C49" s="97">
        <f>'Forward Curve'!E50</f>
        <v>48242</v>
      </c>
      <c r="D49" s="98">
        <f>'Term Sheet'!$C$9</f>
        <v>0.0353</v>
      </c>
      <c r="E49" s="98">
        <f>'Forward Curve'!H50/100</f>
        <v>0.044423235500000005</v>
      </c>
      <c r="F49" s="98">
        <f>E49+$C$12</f>
        <v>0.05442323550000001</v>
      </c>
      <c r="G49" s="98">
        <f>E49+$C$13</f>
        <v>0.06442323550000001</v>
      </c>
      <c r="H49" s="98">
        <f>MAX(E$29:E49)</f>
        <v>0.0466397568</v>
      </c>
      <c r="I49" s="101">
        <f>MAX(0,MIN(C49,$C$18)-MAX(B49,$C$17))</f>
        <v>0</v>
      </c>
      <c r="J49" s="117">
        <f>(C49-B49)/$C$25</f>
        <v>0.25555555555555554</v>
      </c>
      <c r="K49" s="131">
        <f>K48/(1+E49*J49)</f>
        <v>0.7891996697913563</v>
      </c>
      <c r="L49" s="117">
        <f>I49/$C$25</f>
        <v>0</v>
      </c>
      <c r="N49" s="101">
        <f>MAX(0,MIN($C49,N$27,$C$18)-MAX($B49,$C$17,EDATE(N$27,-12)))</f>
        <v>0</v>
      </c>
      <c r="O49" s="101">
        <f>MAX(0,MIN($C49,O$27,$C$18)-MAX($B49,$C$17,EDATE(O$27,-12)))</f>
        <v>0</v>
      </c>
      <c r="P49" s="101">
        <f>MAX(0,MIN($C49,P$27,$C$18)-MAX($B49,$C$17,EDATE(P$27,-12)))</f>
        <v>0</v>
      </c>
      <c r="Q49" s="101">
        <f>MAX(0,MIN($C49,Q$27,$C$18)-MAX($B49,$C$17,EDATE(Q$27,-12)))</f>
        <v>0</v>
      </c>
      <c r="R49" s="101">
        <f>MAX(0,MIN($C49,R$27,$C$18)-MAX($B49,$C$17,EDATE(R$27,-12)))</f>
        <v>0</v>
      </c>
      <c r="S49" s="101">
        <f>MAX(0,MIN($C49,S$27,$C$18)-MAX($B49,$C$17,EDATE(S$27,-12)))</f>
        <v>0</v>
      </c>
    </row>
    <row r="51">
      <c r="B51" t="s" s="34">
        <v>589</v>
      </c>
      <c r="C51" s="34"/>
      <c r="D51" s="34"/>
      <c r="E51" s="34"/>
      <c r="F51" s="34"/>
      <c r="G51" s="34"/>
      <c r="H51" s="34"/>
      <c r="I51" s="34"/>
      <c r="J51" s="34"/>
      <c r="K51" s="34"/>
      <c r="L51" s="34"/>
    </row>
    <row r="52">
      <c r="B52" t="s" s="111">
        <v>215</v>
      </c>
      <c r="C52" s="109"/>
      <c r="D52" s="110">
        <f>'Forward Curve'!D$15</f>
        <v>46387</v>
      </c>
      <c r="E52" s="110">
        <f>'Forward Curve'!E$15</f>
        <v>46752</v>
      </c>
      <c r="F52" s="110">
        <f>'Forward Curve'!F$15</f>
        <v>47118</v>
      </c>
      <c r="G52" s="110">
        <f>'Forward Curve'!G$15</f>
        <v>47483</v>
      </c>
      <c r="H52" s="110">
        <f>'Forward Curve'!H$15</f>
        <v>47848</v>
      </c>
      <c r="I52" s="110">
        <f>'Forward Curve'!I$15</f>
        <v>48213</v>
      </c>
    </row>
    <row r="53">
      <c r="B53" t="s">
        <v>545</v>
      </c>
      <c r="D53" s="101">
        <f>'Forward Curve'!D$16</f>
        <v>189</v>
      </c>
      <c r="E53" s="101">
        <f>'Forward Curve'!E$16</f>
        <v>365</v>
      </c>
      <c r="F53" s="101">
        <f>'Forward Curve'!F$16</f>
        <v>366</v>
      </c>
      <c r="G53" s="101">
        <f>'Forward Curve'!G$16</f>
        <v>365</v>
      </c>
      <c r="H53" s="101">
        <f>'Forward Curve'!H$16</f>
        <v>365</v>
      </c>
      <c r="I53" s="101">
        <f>'Forward Curve'!I$16</f>
        <v>365</v>
      </c>
    </row>
    <row r="54">
      <c r="B54" t="s" s="1">
        <v>590</v>
      </c>
    </row>
    <row r="55">
      <c r="B55" t="s" s="9">
        <v>591</v>
      </c>
      <c r="D55" s="98">
        <f>SUMPRODUCT($D$28:$D$49,'Forward Curve'!K$29:K$50)/D$53</f>
        <v>0.0353</v>
      </c>
      <c r="E55" s="98">
        <f>SUMPRODUCT($D$28:$D$49,'Forward Curve'!L$29:L$50)/E$53</f>
        <v>0.0353</v>
      </c>
      <c r="F55" s="98">
        <f>SUMPRODUCT($D$28:$D$49,'Forward Curve'!M$29:M$50)/F$53</f>
        <v>0.0353</v>
      </c>
      <c r="G55" s="98">
        <f>SUMPRODUCT($D$28:$D$49,'Forward Curve'!N$29:N$50)/G$53</f>
        <v>0.0353</v>
      </c>
      <c r="H55" s="98">
        <f>SUMPRODUCT($D$28:$D$49,'Forward Curve'!O$29:O$50)/H$53</f>
        <v>0.0353</v>
      </c>
      <c r="I55" s="98">
        <f>SUMPRODUCT($D$28:$D$49,'Forward Curve'!P$29:P$50)/I$53</f>
        <v>0.0353</v>
      </c>
    </row>
    <row r="56">
      <c r="B56" t="s" s="9">
        <v>592</v>
      </c>
      <c r="D56" s="98">
        <f>SUMPRODUCT($E$28:$E$49,'Forward Curve'!K$29:K$50)/D$53</f>
        <v>0.038282924605291</v>
      </c>
      <c r="E56" s="98">
        <f>SUMPRODUCT($E$28:$E$49,'Forward Curve'!L$29:L$50)/E$53</f>
        <v>0.04505393053616438</v>
      </c>
      <c r="F56" s="98">
        <f>SUMPRODUCT($E$28:$E$49,'Forward Curve'!M$29:M$50)/F$53</f>
        <v>0.04598439985027322</v>
      </c>
      <c r="G56" s="98">
        <f>SUMPRODUCT($E$28:$E$49,'Forward Curve'!N$29:N$50)/G$53</f>
        <v>0.044875348657260276</v>
      </c>
      <c r="H56" s="98">
        <f>SUMPRODUCT($E$28:$E$49,'Forward Curve'!O$29:O$50)/H$53</f>
        <v>0.044172012921369866</v>
      </c>
      <c r="I56" s="98">
        <f>SUMPRODUCT($E$28:$E$49,'Forward Curve'!P$29:P$50)/I$53</f>
        <v>0.04407827134410959</v>
      </c>
    </row>
    <row r="57">
      <c r="B57" t="s" s="9">
        <v>593</v>
      </c>
      <c r="D57" s="98">
        <f>SUMPRODUCT($F$28:$F$49,'Forward Curve'!K$29:K$50)/D$53</f>
        <v>0.04161625793862433</v>
      </c>
      <c r="E57" s="98">
        <f>SUMPRODUCT($F$28:$F$49,'Forward Curve'!L$29:L$50)/E$53</f>
        <v>0.055053930536164385</v>
      </c>
      <c r="F57" s="98">
        <f>SUMPRODUCT($F$28:$F$49,'Forward Curve'!M$29:M$50)/F$53</f>
        <v>0.05598439985027323</v>
      </c>
      <c r="G57" s="98">
        <f>SUMPRODUCT($F$28:$F$49,'Forward Curve'!N$29:N$50)/G$53</f>
        <v>0.05487534865726027</v>
      </c>
      <c r="H57" s="98">
        <f>SUMPRODUCT($F$28:$F$49,'Forward Curve'!O$29:O$50)/H$53</f>
        <v>0.05417201292136986</v>
      </c>
      <c r="I57" s="98">
        <f>SUMPRODUCT($F$28:$F$49,'Forward Curve'!P$29:P$50)/I$53</f>
        <v>0.05407827134410959</v>
      </c>
    </row>
    <row r="58">
      <c r="B58" t="s" s="9">
        <v>594</v>
      </c>
      <c r="D58" s="98">
        <f>SUMPRODUCT($G$28:$G$49,'Forward Curve'!K$29:K$50)/D$53</f>
        <v>0.04494959127195766</v>
      </c>
      <c r="E58" s="98">
        <f>SUMPRODUCT($G$28:$G$49,'Forward Curve'!L$29:L$50)/E$53</f>
        <v>0.06505393053616437</v>
      </c>
      <c r="F58" s="98">
        <f>SUMPRODUCT($G$28:$G$49,'Forward Curve'!M$29:M$50)/F$53</f>
        <v>0.06598439985027323</v>
      </c>
      <c r="G58" s="98">
        <f>SUMPRODUCT($G$28:$G$49,'Forward Curve'!N$29:N$50)/G$53</f>
        <v>0.06487534865726027</v>
      </c>
      <c r="H58" s="98">
        <f>SUMPRODUCT($G$28:$G$49,'Forward Curve'!O$29:O$50)/H$53</f>
        <v>0.06417201292136987</v>
      </c>
      <c r="I58" s="98">
        <f>SUMPRODUCT($G$28:$G$49,'Forward Curve'!P$29:P$50)/I$53</f>
        <v>0.0640782713441096</v>
      </c>
    </row>
    <row r="59">
      <c r="B59" t="s" s="9">
        <v>595</v>
      </c>
      <c r="D59" s="98">
        <f>SUMPRODUCT($H$28:$H$49,'Forward Curve'!K$29:K$50)/D$53</f>
        <v>0.038282924605291</v>
      </c>
      <c r="E59" s="98">
        <f>SUMPRODUCT($H$28:$H$49,'Forward Curve'!L$29:L$50)/E$53</f>
        <v>0.045062235679452056</v>
      </c>
      <c r="F59" s="98">
        <f>SUMPRODUCT($H$28:$H$49,'Forward Curve'!M$29:M$50)/F$53</f>
        <v>0.046639756799999994</v>
      </c>
      <c r="G59" s="98">
        <f>SUMPRODUCT($H$28:$H$49,'Forward Curve'!N$29:N$50)/G$53</f>
        <v>0.0466397568</v>
      </c>
      <c r="H59" s="98">
        <f>SUMPRODUCT($H$28:$H$49,'Forward Curve'!O$29:O$50)/H$53</f>
        <v>0.0466397568</v>
      </c>
      <c r="I59" s="98">
        <f>SUMPRODUCT($H$28:$H$49,'Forward Curve'!P$29:P$50)/I$53</f>
        <v>0.0466397568</v>
      </c>
    </row>
    <row r="60">
      <c r="B60" t="s" s="113">
        <v>596</v>
      </c>
      <c r="C60" s="113"/>
      <c r="D60" s="114" cm="1">
        <f t="array" ref="D60:D60">INDEX(D55:D59,$C$7)</f>
        <v>0.038282924605291</v>
      </c>
      <c r="E60" s="114" cm="1">
        <f t="array" ref="E60:E60">INDEX(E55:E59,$C$7)</f>
        <v>0.04505393053616438</v>
      </c>
      <c r="F60" s="114" cm="1">
        <f t="array" ref="F60:F60">INDEX(F55:F59,$C$7)</f>
        <v>0.04598439985027322</v>
      </c>
      <c r="G60" s="114" cm="1">
        <f t="array" ref="G60:G60">INDEX(G55:G59,$C$7)</f>
        <v>0.044875348657260276</v>
      </c>
      <c r="H60" s="114" cm="1">
        <f t="array" ref="H60:H60">INDEX(H55:H59,$C$7)</f>
        <v>0.044172012921369866</v>
      </c>
      <c r="I60" s="114" cm="1">
        <f t="array" ref="I60:I60">INDEX(I55:I59,$C$7)</f>
        <v>0.04407827134410959</v>
      </c>
    </row>
    <row r="62">
      <c r="B62" t="s" s="1">
        <v>597</v>
      </c>
    </row>
    <row r="63">
      <c r="B63" t="s" s="9">
        <v>591</v>
      </c>
      <c r="D63" s="99">
        <f>$C$15*SUMPRODUCT(($D$28:$D$49&gt;$C$21)*($D$28:$D$49-$C$21),N$28:N$49)/$C$25</f>
        <v>0</v>
      </c>
      <c r="E63" s="99">
        <f>$C$15*SUMPRODUCT(($D$28:$D$49&gt;$C$21)*($D$28:$D$49-$C$21),O$28:O$49)/$C$25</f>
        <v>0</v>
      </c>
      <c r="F63" s="99">
        <f>$C$15*SUMPRODUCT(($D$28:$D$49&gt;$C$21)*($D$28:$D$49-$C$21),P$28:P$49)/$C$25</f>
        <v>0</v>
      </c>
      <c r="G63" s="99">
        <f>$C$15*SUMPRODUCT(($D$28:$D$49&gt;$C$21)*($D$28:$D$49-$C$21),Q$28:Q$49)/$C$25</f>
        <v>0</v>
      </c>
      <c r="H63" s="99">
        <f>$C$15*SUMPRODUCT(($D$28:$D$49&gt;$C$21)*($D$28:$D$49-$C$21),R$28:R$49)/$C$25</f>
        <v>0</v>
      </c>
      <c r="I63" s="99">
        <f>$C$15*SUMPRODUCT(($D$28:$D$49&gt;$C$21)*($D$28:$D$49-$C$21),S$28:S$49)/$C$25</f>
        <v>0</v>
      </c>
    </row>
    <row r="64">
      <c r="B64" t="s" s="9">
        <v>592</v>
      </c>
      <c r="D64" s="99">
        <f>$C$15*SUMPRODUCT(($E$28:$E$49&gt;$C$21)*($E$28:$E$49-$C$21),N$28:N$49)/$C$25</f>
        <v>0</v>
      </c>
      <c r="E64" s="99">
        <f>$C$15*SUMPRODUCT(($E$28:$E$49&gt;$C$21)*($E$28:$E$49-$C$21),O$28:O$49)/$C$25</f>
        <v>0</v>
      </c>
      <c r="F64" s="99">
        <f>$C$15*SUMPRODUCT(($E$28:$E$49&gt;$C$21)*($E$28:$E$49-$C$21),P$28:P$49)/$C$25</f>
        <v>0</v>
      </c>
      <c r="G64" s="99">
        <f>$C$15*SUMPRODUCT(($E$28:$E$49&gt;$C$21)*($E$28:$E$49-$C$21),Q$28:Q$49)/$C$25</f>
        <v>0</v>
      </c>
      <c r="H64" s="99">
        <f>$C$15*SUMPRODUCT(($E$28:$E$49&gt;$C$21)*($E$28:$E$49-$C$21),R$28:R$49)/$C$25</f>
        <v>0</v>
      </c>
      <c r="I64" s="99">
        <f>$C$15*SUMPRODUCT(($E$28:$E$49&gt;$C$21)*($E$28:$E$49-$C$21),S$28:S$49)/$C$25</f>
        <v>0</v>
      </c>
    </row>
    <row r="65">
      <c r="B65" t="s" s="9">
        <v>593</v>
      </c>
      <c r="D65" s="99">
        <f>$C$15*SUMPRODUCT(($F$28:$F$49&gt;$C$21)*($F$28:$F$49-$C$21),N$28:N$49)/$C$25</f>
        <v>0.7165228140000004</v>
      </c>
      <c r="E65" s="99">
        <f>$C$15*SUMPRODUCT(($F$28:$F$49&gt;$C$21)*($F$28:$F$49-$C$21),O$28:O$49)/$C$25</f>
        <v>10.339442421375002</v>
      </c>
      <c r="F65" s="99">
        <f>$C$15*SUMPRODUCT(($F$28:$F$49&gt;$C$21)*($F$28:$F$49-$C$21),P$28:P$49)/$C$25</f>
        <v>11.6448387945</v>
      </c>
      <c r="G65" s="99">
        <f>$C$15*SUMPRODUCT(($F$28:$F$49&gt;$C$21)*($F$28:$F$49-$C$21),Q$28:Q$49)/$C$25</f>
        <v>5.006814162375001</v>
      </c>
      <c r="H65" s="99">
        <f>$C$15*SUMPRODUCT(($F$28:$F$49&gt;$C$21)*($F$28:$F$49-$C$21),R$28:R$49)/$C$25</f>
        <v>0</v>
      </c>
      <c r="I65" s="99">
        <f>$C$15*SUMPRODUCT(($F$28:$F$49&gt;$C$21)*($F$28:$F$49-$C$21),S$28:S$49)/$C$25</f>
        <v>0</v>
      </c>
    </row>
    <row r="66">
      <c r="B66" t="s" s="9">
        <v>594</v>
      </c>
      <c r="D66" s="99">
        <f>$C$15*SUMPRODUCT(($G$28:$G$49&gt;$C$21)*($G$28:$G$49-$C$21),N$28:N$49)/$C$25</f>
        <v>3.079022813999999</v>
      </c>
      <c r="E66" s="99">
        <f>$C$15*SUMPRODUCT(($G$28:$G$49&gt;$C$21)*($G$28:$G$49-$C$21),O$28:O$49)/$C$25</f>
        <v>24.026942421374994</v>
      </c>
      <c r="F66" s="99">
        <f>$C$15*SUMPRODUCT(($G$28:$G$49&gt;$C$21)*($G$28:$G$49-$C$21),P$28:P$49)/$C$25</f>
        <v>25.369838794499998</v>
      </c>
      <c r="G66" s="99">
        <f>$C$15*SUMPRODUCT(($G$28:$G$49&gt;$C$21)*($G$28:$G$49-$C$21),Q$28:Q$49)/$C$25</f>
        <v>11.606814162374999</v>
      </c>
      <c r="H66" s="99">
        <f>$C$15*SUMPRODUCT(($G$28:$G$49&gt;$C$21)*($G$28:$G$49-$C$21),R$28:R$49)/$C$25</f>
        <v>0</v>
      </c>
      <c r="I66" s="99">
        <f>$C$15*SUMPRODUCT(($G$28:$G$49&gt;$C$21)*($G$28:$G$49-$C$21),S$28:S$49)/$C$25</f>
        <v>0</v>
      </c>
    </row>
    <row r="67">
      <c r="B67" t="s" s="9">
        <v>595</v>
      </c>
      <c r="D67" s="99">
        <f>$C$15*SUMPRODUCT(($H$28:$H$49&gt;$C$21)*($H$28:$H$49-$C$21),N$28:N$49)/$C$25</f>
        <v>0</v>
      </c>
      <c r="E67" s="99">
        <f>$C$15*SUMPRODUCT(($H$28:$H$49&gt;$C$21)*($H$28:$H$49-$C$21),O$28:O$49)/$C$25</f>
        <v>0</v>
      </c>
      <c r="F67" s="99">
        <f>$C$15*SUMPRODUCT(($H$28:$H$49&gt;$C$21)*($H$28:$H$49-$C$21),P$28:P$49)/$C$25</f>
        <v>0</v>
      </c>
      <c r="G67" s="99">
        <f>$C$15*SUMPRODUCT(($H$28:$H$49&gt;$C$21)*($H$28:$H$49-$C$21),Q$28:Q$49)/$C$25</f>
        <v>0</v>
      </c>
      <c r="H67" s="99">
        <f>$C$15*SUMPRODUCT(($H$28:$H$49&gt;$C$21)*($H$28:$H$49-$C$21),R$28:R$49)/$C$25</f>
        <v>0</v>
      </c>
      <c r="I67" s="99">
        <f>$C$15*SUMPRODUCT(($H$28:$H$49&gt;$C$21)*($H$28:$H$49-$C$21),S$28:S$49)/$C$25</f>
        <v>0</v>
      </c>
    </row>
    <row r="69">
      <c r="B69" t="s" s="1">
        <v>598</v>
      </c>
    </row>
    <row r="70">
      <c r="B70" t="s" s="9">
        <v>591</v>
      </c>
      <c r="D70" s="99">
        <f>$C$15*SUMPRODUCT($C$22-$D$28:$D$49,N$28:N$49)/$C$25</f>
        <v>2.3123005488073423</v>
      </c>
      <c r="E70" s="99">
        <f>$C$15*SUMPRODUCT($C$22-$D$28:$D$49,O$28:O$49)/$C$25</f>
        <v>13.396661909756823</v>
      </c>
      <c r="F70" s="99">
        <f>$C$15*SUMPRODUCT($C$22-$D$28:$D$49,P$28:P$49)/$C$25</f>
        <v>13.433365093071224</v>
      </c>
      <c r="G70" s="99">
        <f>$C$15*SUMPRODUCT($C$22-$D$28:$D$49,Q$28:Q$49)/$C$25</f>
        <v>6.459760263334797</v>
      </c>
      <c r="H70" s="99">
        <f>$C$15*SUMPRODUCT($C$22-$D$28:$D$49,R$28:R$49)/$C$25</f>
        <v>0</v>
      </c>
      <c r="I70" s="99">
        <f>$C$15*SUMPRODUCT($C$22-$D$28:$D$49,S$28:S$49)/$C$25</f>
        <v>0</v>
      </c>
    </row>
    <row r="71">
      <c r="B71" t="s" s="9">
        <v>592</v>
      </c>
      <c r="D71" s="99">
        <f>$C$15*SUMPRODUCT($C$22-$E$28:$E$49,N$28:N$49)/$C$25</f>
        <v>1.0760277348073415</v>
      </c>
      <c r="E71" s="99">
        <f>$C$15*SUMPRODUCT($C$22-$E$28:$E$49,O$28:O$49)/$C$25</f>
        <v>0.045969488381820876</v>
      </c>
      <c r="F71" s="99">
        <f>$C$15*SUMPRODUCT($C$22-$E$28:$E$49,P$28:P$49)/$C$25</f>
        <v>-1.2309737014287745</v>
      </c>
      <c r="G71" s="99">
        <f>$C$15*SUMPRODUCT($C$22-$E$28:$E$49,Q$28:Q$49)/$C$25</f>
        <v>0.0009461009597957864</v>
      </c>
      <c r="H71" s="99">
        <f>$C$15*SUMPRODUCT($C$22-$E$28:$E$49,R$28:R$49)/$C$25</f>
        <v>0</v>
      </c>
      <c r="I71" s="99">
        <f>$C$15*SUMPRODUCT($C$22-$E$28:$E$49,S$28:S$49)/$C$25</f>
        <v>0</v>
      </c>
    </row>
    <row r="72">
      <c r="B72" t="s" s="9">
        <v>593</v>
      </c>
      <c r="D72" s="99">
        <f>$C$15*SUMPRODUCT($C$22-$F$28:$F$49,N$28:N$49)/$C$25</f>
        <v>-1.286472265192659</v>
      </c>
      <c r="E72" s="99">
        <f>$C$15*SUMPRODUCT($C$22-$F$28:$F$49,O$28:O$49)/$C$25</f>
        <v>-13.641530511618182</v>
      </c>
      <c r="F72" s="99">
        <f>$C$15*SUMPRODUCT($C$22-$F$28:$F$49,P$28:P$49)/$C$25</f>
        <v>-14.955973701428775</v>
      </c>
      <c r="G72" s="99">
        <f>$C$15*SUMPRODUCT($C$22-$F$28:$F$49,Q$28:Q$49)/$C$25</f>
        <v>-6.5990538990402055</v>
      </c>
      <c r="H72" s="99">
        <f>$C$15*SUMPRODUCT($C$22-$F$28:$F$49,R$28:R$49)/$C$25</f>
        <v>0</v>
      </c>
      <c r="I72" s="99">
        <f>$C$15*SUMPRODUCT($C$22-$F$28:$F$49,S$28:S$49)/$C$25</f>
        <v>0</v>
      </c>
    </row>
    <row r="73">
      <c r="B73" t="s" s="9">
        <v>594</v>
      </c>
      <c r="D73" s="99">
        <f>$C$15*SUMPRODUCT($C$22-$G$28:$G$49,N$28:N$49)/$C$25</f>
        <v>-3.6489722651926577</v>
      </c>
      <c r="E73" s="99">
        <f>$C$15*SUMPRODUCT($C$22-$G$28:$G$49,O$28:O$49)/$C$25</f>
        <v>-27.32903051161818</v>
      </c>
      <c r="F73" s="99">
        <f>$C$15*SUMPRODUCT($C$22-$G$28:$G$49,P$28:P$49)/$C$25</f>
        <v>-28.68097370142877</v>
      </c>
      <c r="G73" s="99">
        <f>$C$15*SUMPRODUCT($C$22-$G$28:$G$49,Q$28:Q$49)/$C$25</f>
        <v>-13.199053899040203</v>
      </c>
      <c r="H73" s="99">
        <f>$C$15*SUMPRODUCT($C$22-$G$28:$G$49,R$28:R$49)/$C$25</f>
        <v>0</v>
      </c>
      <c r="I73" s="99">
        <f>$C$15*SUMPRODUCT($C$22-$G$28:$G$49,S$28:S$49)/$C$25</f>
        <v>0</v>
      </c>
    </row>
    <row r="74">
      <c r="B74" t="s" s="9">
        <v>595</v>
      </c>
      <c r="D74" s="99">
        <f>$C$15*SUMPRODUCT($C$22-$H$28:$H$49,N$28:N$49)/$C$25</f>
        <v>1.0760277348073415</v>
      </c>
      <c r="E74" s="99">
        <f>$C$15*SUMPRODUCT($C$22-$H$28:$H$49,O$28:O$49)/$C$25</f>
        <v>0.03460182350682052</v>
      </c>
      <c r="F74" s="99">
        <f>$C$15*SUMPRODUCT($C$22-$H$28:$H$49,P$28:P$49)/$C$25</f>
        <v>-2.130451114928779</v>
      </c>
      <c r="G74" s="99">
        <f>$C$15*SUMPRODUCT($C$22-$H$28:$H$49,Q$28:Q$49)/$C$25</f>
        <v>-1.024479224665205</v>
      </c>
      <c r="H74" s="99">
        <f>$C$15*SUMPRODUCT($C$22-$H$28:$H$49,R$28:R$49)/$C$25</f>
        <v>0</v>
      </c>
      <c r="I74" s="99">
        <f>$C$15*SUMPRODUCT($C$22-$H$28:$H$49,S$28:S$49)/$C$25</f>
        <v>0</v>
      </c>
    </row>
    <row r="76">
      <c r="B76" t="s" s="113">
        <v>599</v>
      </c>
      <c r="C76" s="113"/>
      <c r="D76" s="134" cm="1">
        <f t="array" ref="D76:D76">CHOOSE($C$8+1,0,-INDEX(D63:D67,$C$7),INDEX(D70:D74,$C$7))</f>
        <v>0</v>
      </c>
      <c r="E76" s="134" cm="1">
        <f t="array" ref="E76:E76">CHOOSE($C$8+1,0,-INDEX(E63:E67,$C$7),INDEX(E70:E74,$C$7))</f>
        <v>0</v>
      </c>
      <c r="F76" s="134" cm="1">
        <f t="array" ref="F76:F76">CHOOSE($C$8+1,0,-INDEX(F63:F67,$C$7),INDEX(F70:F74,$C$7))</f>
        <v>0</v>
      </c>
      <c r="G76" s="134" cm="1">
        <f t="array" ref="G76:G76">CHOOSE($C$8+1,0,-INDEX(G63:G67,$C$7),INDEX(G70:G74,$C$7))</f>
        <v>0</v>
      </c>
      <c r="H76" s="134" cm="1">
        <f t="array" ref="H76:H76">CHOOSE($C$8+1,0,-INDEX(H63:H67,$C$7),INDEX(H70:H74,$C$7))</f>
        <v>0</v>
      </c>
      <c r="I76" s="134" cm="1">
        <f t="array" ref="I76:I76">CHOOSE($C$8+1,0,-INDEX(I63:I67,$C$7),INDEX(I70:I74,$C$7))</f>
        <v>0</v>
      </c>
    </row>
    <row r="79">
      <c r="B79" t="s" s="34">
        <v>614</v>
      </c>
      <c r="C79" s="34"/>
      <c r="D79" s="34"/>
      <c r="E79" s="34"/>
      <c r="F79" s="34"/>
      <c r="G79" s="34"/>
      <c r="H79" s="34"/>
      <c r="I79" s="34"/>
      <c r="J79" s="34"/>
      <c r="K79" s="34"/>
      <c r="L79" s="34"/>
      <c r="M79" s="34"/>
      <c r="N79" s="34"/>
      <c r="O79" s="34"/>
      <c r="P79" s="34"/>
      <c r="Q79" s="34"/>
      <c r="R79" s="34"/>
    </row>
    <row r="80">
      <c r="B80" t="s" s="3">
        <v>615</v>
      </c>
      <c r="C80" s="3"/>
      <c r="D80" t="s" s="135">
        <v>601</v>
      </c>
      <c r="E80" t="s" s="135">
        <v>601</v>
      </c>
      <c r="F80" t="s" s="135">
        <v>601</v>
      </c>
      <c r="G80" t="s" s="135">
        <v>602</v>
      </c>
      <c r="H80" t="s" s="135">
        <v>602</v>
      </c>
      <c r="I80" t="s" s="135">
        <v>602</v>
      </c>
      <c r="J80" t="s" s="135">
        <v>603</v>
      </c>
      <c r="K80" t="s" s="135">
        <v>603</v>
      </c>
      <c r="L80" t="s" s="135">
        <v>603</v>
      </c>
      <c r="M80" t="s" s="135">
        <v>604</v>
      </c>
      <c r="N80" t="s" s="135">
        <v>604</v>
      </c>
      <c r="O80" t="s" s="135">
        <v>604</v>
      </c>
      <c r="P80" t="s" s="135">
        <v>605</v>
      </c>
      <c r="Q80" t="s" s="135">
        <v>605</v>
      </c>
      <c r="R80" t="s" s="135">
        <v>605</v>
      </c>
    </row>
    <row r="81">
      <c r="B81" t="s" s="3">
        <v>616</v>
      </c>
      <c r="C81" s="3"/>
      <c r="D81" t="s" s="135">
        <v>685</v>
      </c>
      <c r="E81" t="s" s="135">
        <v>686</v>
      </c>
      <c r="F81" t="s" s="135">
        <v>687</v>
      </c>
      <c r="G81" t="s" s="135">
        <v>685</v>
      </c>
      <c r="H81" t="s" s="135">
        <v>686</v>
      </c>
      <c r="I81" t="s" s="135">
        <v>687</v>
      </c>
      <c r="J81" t="s" s="135">
        <v>685</v>
      </c>
      <c r="K81" t="s" s="135">
        <v>686</v>
      </c>
      <c r="L81" t="s" s="135">
        <v>687</v>
      </c>
      <c r="M81" t="s" s="135">
        <v>685</v>
      </c>
      <c r="N81" t="s" s="135">
        <v>686</v>
      </c>
      <c r="O81" t="s" s="135">
        <v>687</v>
      </c>
      <c r="P81" t="s" s="135">
        <v>685</v>
      </c>
      <c r="Q81" t="s" s="135">
        <v>686</v>
      </c>
      <c r="R81" t="s" s="135">
        <v>687</v>
      </c>
    </row>
    <row r="82">
      <c r="B82" t="s" s="111">
        <v>617</v>
      </c>
      <c r="C82" t="s" s="109">
        <v>376</v>
      </c>
      <c r="D82" s="136">
        <v>1</v>
      </c>
      <c r="E82" s="136">
        <v>2</v>
      </c>
      <c r="F82" s="136">
        <v>3</v>
      </c>
      <c r="G82" s="136">
        <v>4</v>
      </c>
      <c r="H82" s="136">
        <v>5</v>
      </c>
      <c r="I82" s="136">
        <v>6</v>
      </c>
      <c r="J82" s="136">
        <v>7</v>
      </c>
      <c r="K82" s="136">
        <v>8</v>
      </c>
      <c r="L82" s="136">
        <v>9</v>
      </c>
      <c r="M82" s="136">
        <v>10</v>
      </c>
      <c r="N82" s="136">
        <v>11</v>
      </c>
      <c r="O82" s="136">
        <v>12</v>
      </c>
      <c r="P82" s="136">
        <v>13</v>
      </c>
      <c r="Q82" s="136">
        <v>14</v>
      </c>
      <c r="R82" s="136">
        <v>15</v>
      </c>
    </row>
    <row r="83">
      <c r="B83" t="s" s="9">
        <v>618</v>
      </c>
      <c r="C83" s="138">
        <f>'Debt Schedule'!D27</f>
        <v>0.038282924605291</v>
      </c>
      <c r="D83" s="98">
        <f t="dataTable" ref="D83:R151" dtr="1" r1="C6"/>
        <v>0.0353</v>
      </c>
      <c r="E83" s="98">
        <v>0.0353</v>
      </c>
      <c r="F83" s="98">
        <v>0.0353</v>
      </c>
      <c r="G83" s="98">
        <v>0.038282924605291</v>
      </c>
      <c r="H83" s="98">
        <v>0.038282924605291</v>
      </c>
      <c r="I83" s="98">
        <v>0.038282924605291</v>
      </c>
      <c r="J83" s="98">
        <v>0.04161625793862433</v>
      </c>
      <c r="K83" s="98">
        <v>0.04161625793862433</v>
      </c>
      <c r="L83" s="98">
        <v>0.04161625793862433</v>
      </c>
      <c r="M83" s="98">
        <v>0.04494959127195766</v>
      </c>
      <c r="N83" s="98">
        <v>0.04494959127195766</v>
      </c>
      <c r="O83" s="98">
        <v>0.04494959127195766</v>
      </c>
      <c r="P83" s="98">
        <v>0.038282924605291</v>
      </c>
      <c r="Q83" s="98">
        <v>0.038282924605291</v>
      </c>
      <c r="R83" s="98">
        <v>0.038282924605291</v>
      </c>
    </row>
    <row r="84">
      <c r="B84" t="s" s="9">
        <v>619</v>
      </c>
      <c r="C84" s="138">
        <f>'Debt Schedule'!E27</f>
        <v>0.04505393053616438</v>
      </c>
      <c r="D84" s="98">
        <v>0.0353</v>
      </c>
      <c r="E84" s="98">
        <v>0.0353</v>
      </c>
      <c r="F84" s="98">
        <v>0.0353</v>
      </c>
      <c r="G84" s="98">
        <v>0.04505393053616438</v>
      </c>
      <c r="H84" s="98">
        <v>0.04505393053616438</v>
      </c>
      <c r="I84" s="98">
        <v>0.04505393053616438</v>
      </c>
      <c r="J84" s="98">
        <v>0.055053930536164385</v>
      </c>
      <c r="K84" s="98">
        <v>0.055053930536164385</v>
      </c>
      <c r="L84" s="98">
        <v>0.055053930536164385</v>
      </c>
      <c r="M84" s="98">
        <v>0.06505393053616437</v>
      </c>
      <c r="N84" s="98">
        <v>0.06505393053616437</v>
      </c>
      <c r="O84" s="98">
        <v>0.06505393053616437</v>
      </c>
      <c r="P84" s="98">
        <v>0.045062235679452056</v>
      </c>
      <c r="Q84" s="98">
        <v>0.045062235679452056</v>
      </c>
      <c r="R84" s="98">
        <v>0.045062235679452056</v>
      </c>
    </row>
    <row r="85">
      <c r="B85" t="s" s="9">
        <v>620</v>
      </c>
      <c r="C85" s="138">
        <f>'Debt Schedule'!F27</f>
        <v>0.04598439985027322</v>
      </c>
      <c r="D85" s="98">
        <v>0.0353</v>
      </c>
      <c r="E85" s="98">
        <v>0.0353</v>
      </c>
      <c r="F85" s="98">
        <v>0.0353</v>
      </c>
      <c r="G85" s="98">
        <v>0.04598439985027322</v>
      </c>
      <c r="H85" s="98">
        <v>0.04598439985027322</v>
      </c>
      <c r="I85" s="98">
        <v>0.04598439985027322</v>
      </c>
      <c r="J85" s="98">
        <v>0.05598439985027323</v>
      </c>
      <c r="K85" s="98">
        <v>0.05598439985027323</v>
      </c>
      <c r="L85" s="98">
        <v>0.05598439985027323</v>
      </c>
      <c r="M85" s="98">
        <v>0.06598439985027323</v>
      </c>
      <c r="N85" s="98">
        <v>0.06598439985027323</v>
      </c>
      <c r="O85" s="98">
        <v>0.06598439985027323</v>
      </c>
      <c r="P85" s="98">
        <v>0.046639756799999994</v>
      </c>
      <c r="Q85" s="98">
        <v>0.046639756799999994</v>
      </c>
      <c r="R85" s="98">
        <v>0.046639756799999994</v>
      </c>
    </row>
    <row r="86">
      <c r="B86" t="s" s="9">
        <v>621</v>
      </c>
      <c r="C86" s="138">
        <f>'Debt Schedule'!G27</f>
        <v>0.044875348657260276</v>
      </c>
      <c r="D86" s="98">
        <v>0.0353</v>
      </c>
      <c r="E86" s="98">
        <v>0.0353</v>
      </c>
      <c r="F86" s="98">
        <v>0.0353</v>
      </c>
      <c r="G86" s="98">
        <v>0.044875348657260276</v>
      </c>
      <c r="H86" s="98">
        <v>0.044875348657260276</v>
      </c>
      <c r="I86" s="98">
        <v>0.044875348657260276</v>
      </c>
      <c r="J86" s="98">
        <v>0.05487534865726027</v>
      </c>
      <c r="K86" s="98">
        <v>0.05487534865726027</v>
      </c>
      <c r="L86" s="98">
        <v>0.05487534865726027</v>
      </c>
      <c r="M86" s="98">
        <v>0.06487534865726027</v>
      </c>
      <c r="N86" s="98">
        <v>0.06487534865726027</v>
      </c>
      <c r="O86" s="98">
        <v>0.06487534865726027</v>
      </c>
      <c r="P86" s="98">
        <v>0.0466397568</v>
      </c>
      <c r="Q86" s="98">
        <v>0.0466397568</v>
      </c>
      <c r="R86" s="98">
        <v>0.0466397568</v>
      </c>
    </row>
    <row r="87">
      <c r="B87" t="s" s="9">
        <v>622</v>
      </c>
      <c r="C87" s="138">
        <f>'Debt Schedule'!H27</f>
        <v>0.044172012921369866</v>
      </c>
      <c r="D87" s="98">
        <v>0.0353</v>
      </c>
      <c r="E87" s="98">
        <v>0.0353</v>
      </c>
      <c r="F87" s="98">
        <v>0.0353</v>
      </c>
      <c r="G87" s="98">
        <v>0.044172012921369866</v>
      </c>
      <c r="H87" s="98">
        <v>0.044172012921369866</v>
      </c>
      <c r="I87" s="98">
        <v>0.044172012921369866</v>
      </c>
      <c r="J87" s="98">
        <v>0.05417201292136986</v>
      </c>
      <c r="K87" s="98">
        <v>0.05417201292136986</v>
      </c>
      <c r="L87" s="98">
        <v>0.05417201292136986</v>
      </c>
      <c r="M87" s="98">
        <v>0.06417201292136987</v>
      </c>
      <c r="N87" s="98">
        <v>0.06417201292136987</v>
      </c>
      <c r="O87" s="98">
        <v>0.06417201292136987</v>
      </c>
      <c r="P87" s="98">
        <v>0.0466397568</v>
      </c>
      <c r="Q87" s="98">
        <v>0.0466397568</v>
      </c>
      <c r="R87" s="98">
        <v>0.0466397568</v>
      </c>
    </row>
    <row r="88">
      <c r="B88" t="s" s="9">
        <v>623</v>
      </c>
      <c r="C88" s="138">
        <f>'Debt Schedule'!I27</f>
        <v>0.04407827134410959</v>
      </c>
      <c r="D88" s="98">
        <v>0.0353</v>
      </c>
      <c r="E88" s="98">
        <v>0.0353</v>
      </c>
      <c r="F88" s="98">
        <v>0.0353</v>
      </c>
      <c r="G88" s="98">
        <v>0.04407827134410959</v>
      </c>
      <c r="H88" s="98">
        <v>0.04407827134410959</v>
      </c>
      <c r="I88" s="98">
        <v>0.04407827134410959</v>
      </c>
      <c r="J88" s="98">
        <v>0.05407827134410959</v>
      </c>
      <c r="K88" s="98">
        <v>0.05407827134410959</v>
      </c>
      <c r="L88" s="98">
        <v>0.05407827134410959</v>
      </c>
      <c r="M88" s="98">
        <v>0.0640782713441096</v>
      </c>
      <c r="N88" s="98">
        <v>0.0640782713441096</v>
      </c>
      <c r="O88" s="98">
        <v>0.0640782713441096</v>
      </c>
      <c r="P88" s="98">
        <v>0.0466397568</v>
      </c>
      <c r="Q88" s="98">
        <v>0.0466397568</v>
      </c>
      <c r="R88" s="98">
        <v>0.0466397568</v>
      </c>
    </row>
    <row r="89">
      <c r="B89" t="s" s="9">
        <v>624</v>
      </c>
      <c r="C89" s="139">
        <f>'Debt Schedule'!D73</f>
        <v>85.53314653360448</v>
      </c>
      <c r="D89" s="99">
        <v>81.33560373651373</v>
      </c>
      <c r="E89" s="99">
        <v>81.33560373651373</v>
      </c>
      <c r="F89" s="99">
        <v>81.33560373651373</v>
      </c>
      <c r="G89" s="99">
        <v>85.53314653360448</v>
      </c>
      <c r="H89" s="99">
        <v>85.53314653360448</v>
      </c>
      <c r="I89" s="99">
        <v>85.53314653360448</v>
      </c>
      <c r="J89" s="99">
        <v>90.22378112048531</v>
      </c>
      <c r="K89" s="99">
        <v>90.22378112048531</v>
      </c>
      <c r="L89" s="99">
        <v>90.22378112048531</v>
      </c>
      <c r="M89" s="99">
        <v>94.91441570736615</v>
      </c>
      <c r="N89" s="99">
        <v>94.91441570736615</v>
      </c>
      <c r="O89" s="99">
        <v>94.91441570736615</v>
      </c>
      <c r="P89" s="99">
        <v>85.53314653360448</v>
      </c>
      <c r="Q89" s="99">
        <v>85.53314653360448</v>
      </c>
      <c r="R89" s="99">
        <v>85.53314653360448</v>
      </c>
    </row>
    <row r="90">
      <c r="B90" t="s" s="9">
        <v>625</v>
      </c>
      <c r="C90" s="139">
        <f>'Debt Schedule'!E73</f>
        <v>185.63486698955387</v>
      </c>
      <c r="D90" s="99">
        <v>157.91977173296542</v>
      </c>
      <c r="E90" s="99">
        <v>157.91977173296542</v>
      </c>
      <c r="F90" s="99">
        <v>158.3952523674762</v>
      </c>
      <c r="G90" s="99">
        <v>185.63486698955387</v>
      </c>
      <c r="H90" s="99">
        <v>185.63486698955387</v>
      </c>
      <c r="I90" s="99">
        <v>185.6758520981042</v>
      </c>
      <c r="J90" s="99">
        <v>214.40088068886413</v>
      </c>
      <c r="K90" s="99">
        <v>213.94693831501513</v>
      </c>
      <c r="L90" s="99">
        <v>213.78746714758526</v>
      </c>
      <c r="M90" s="99">
        <v>242.50707712260353</v>
      </c>
      <c r="N90" s="99">
        <v>242.25359411880217</v>
      </c>
      <c r="O90" s="99">
        <v>242.07196539688948</v>
      </c>
      <c r="P90" s="99">
        <v>185.65847488411066</v>
      </c>
      <c r="Q90" s="99">
        <v>185.65847488411066</v>
      </c>
      <c r="R90" s="99">
        <v>185.69906272233743</v>
      </c>
    </row>
    <row r="91">
      <c r="B91" t="s" s="9">
        <v>626</v>
      </c>
      <c r="C91" s="139">
        <f>'Debt Schedule'!F73</f>
        <v>215.04909057764908</v>
      </c>
      <c r="D91" s="99">
        <v>182.44758073394033</v>
      </c>
      <c r="E91" s="99">
        <v>182.44758073394033</v>
      </c>
      <c r="F91" s="99">
        <v>184.07639522632923</v>
      </c>
      <c r="G91" s="99">
        <v>215.04909057764908</v>
      </c>
      <c r="H91" s="99">
        <v>215.04909057764908</v>
      </c>
      <c r="I91" s="99">
        <v>215.0980479234259</v>
      </c>
      <c r="J91" s="99">
        <v>246.86779131763367</v>
      </c>
      <c r="K91" s="99">
        <v>245.24048933332125</v>
      </c>
      <c r="L91" s="99">
        <v>244.7050069442644</v>
      </c>
      <c r="M91" s="99">
        <v>277.0070847521119</v>
      </c>
      <c r="N91" s="99">
        <v>275.44397125019196</v>
      </c>
      <c r="O91" s="99">
        <v>274.84084232164184</v>
      </c>
      <c r="P91" s="99">
        <v>216.92544639882925</v>
      </c>
      <c r="Q91" s="99">
        <v>216.92544639882925</v>
      </c>
      <c r="R91" s="99">
        <v>216.9367014583984</v>
      </c>
    </row>
    <row r="92">
      <c r="B92" t="s" s="9">
        <v>627</v>
      </c>
      <c r="C92" s="139">
        <f>'Debt Schedule'!G73</f>
        <v>235.5720456435771</v>
      </c>
      <c r="D92" s="99">
        <v>203.56774977381028</v>
      </c>
      <c r="E92" s="99">
        <v>203.56774977381028</v>
      </c>
      <c r="F92" s="99">
        <v>206.40272126735104</v>
      </c>
      <c r="G92" s="99">
        <v>235.5720456435771</v>
      </c>
      <c r="H92" s="99">
        <v>235.5720456435771</v>
      </c>
      <c r="I92" s="99">
        <v>235.5756135893504</v>
      </c>
      <c r="J92" s="99">
        <v>270.50816786867944</v>
      </c>
      <c r="K92" s="99">
        <v>267.6734450621759</v>
      </c>
      <c r="L92" s="99">
        <v>266.7701285724178</v>
      </c>
      <c r="M92" s="99">
        <v>304.6047001424092</v>
      </c>
      <c r="N92" s="99">
        <v>299.98701614860687</v>
      </c>
      <c r="O92" s="99">
        <v>298.97376851273793</v>
      </c>
      <c r="P92" s="99">
        <v>240.71844480328127</v>
      </c>
      <c r="Q92" s="99">
        <v>240.71844480328127</v>
      </c>
      <c r="R92" s="99">
        <v>240.585187059919</v>
      </c>
    </row>
    <row r="93">
      <c r="B93" t="s" s="9">
        <v>628</v>
      </c>
      <c r="C93" s="139">
        <f>'Debt Schedule'!H73</f>
        <v>223.79936090868486</v>
      </c>
      <c r="D93" s="99">
        <v>192.28525921752387</v>
      </c>
      <c r="E93" s="99">
        <v>192.28525921752387</v>
      </c>
      <c r="F93" s="99">
        <v>195.61117385583754</v>
      </c>
      <c r="G93" s="99">
        <v>223.79936090868486</v>
      </c>
      <c r="H93" s="99">
        <v>223.79936090868486</v>
      </c>
      <c r="I93" s="99">
        <v>223.80326493983497</v>
      </c>
      <c r="J93" s="99">
        <v>260.9502559920554</v>
      </c>
      <c r="K93" s="99">
        <v>257.5947897839508</v>
      </c>
      <c r="L93" s="99">
        <v>256.52569699176485</v>
      </c>
      <c r="M93" s="99">
        <v>299.98709551149</v>
      </c>
      <c r="N93" s="99">
        <v>292.1697349915495</v>
      </c>
      <c r="O93" s="99">
        <v>290.95961513243003</v>
      </c>
      <c r="P93" s="99">
        <v>231.1014974973912</v>
      </c>
      <c r="Q93" s="99">
        <v>231.1014974973912</v>
      </c>
      <c r="R93" s="99">
        <v>230.90801611652708</v>
      </c>
    </row>
    <row r="94">
      <c r="B94" t="s" s="9">
        <v>629</v>
      </c>
      <c r="C94" s="139">
        <f>'Debt Schedule'!I73</f>
        <v>208.43157088217347</v>
      </c>
      <c r="D94" s="99">
        <v>176.26755501658963</v>
      </c>
      <c r="E94" s="99">
        <v>176.26755501658926</v>
      </c>
      <c r="F94" s="99">
        <v>179.86269882862098</v>
      </c>
      <c r="G94" s="99">
        <v>208.43157088217347</v>
      </c>
      <c r="H94" s="99">
        <v>208.43157088217347</v>
      </c>
      <c r="I94" s="99">
        <v>208.43582379803888</v>
      </c>
      <c r="J94" s="99">
        <v>247.4291301083288</v>
      </c>
      <c r="K94" s="99">
        <v>243.73657478357774</v>
      </c>
      <c r="L94" s="99">
        <v>242.5600812540336</v>
      </c>
      <c r="M94" s="99">
        <v>290.3729748925871</v>
      </c>
      <c r="N94" s="99">
        <v>280.6237144520526</v>
      </c>
      <c r="O94" s="99">
        <v>279.27848570755776</v>
      </c>
      <c r="P94" s="99">
        <v>216.1823499974166</v>
      </c>
      <c r="Q94" s="99">
        <v>216.1823499974166</v>
      </c>
      <c r="R94" s="99">
        <v>215.97081718312404</v>
      </c>
    </row>
    <row r="95">
      <c r="B95" t="s" s="9">
        <v>630</v>
      </c>
      <c r="C95" s="139">
        <f>'Debt Schedule'!D99</f>
        <v>0</v>
      </c>
      <c r="D95" s="99">
        <v>0</v>
      </c>
      <c r="E95" s="99">
        <v>0</v>
      </c>
      <c r="F95" s="99">
        <v>2.3123005488073423</v>
      </c>
      <c r="G95" s="99">
        <v>0</v>
      </c>
      <c r="H95" s="99">
        <v>0</v>
      </c>
      <c r="I95" s="99">
        <v>1.0760277348073415</v>
      </c>
      <c r="J95" s="99">
        <v>0</v>
      </c>
      <c r="K95" s="99">
        <v>-0.7165228140000004</v>
      </c>
      <c r="L95" s="99">
        <v>-1.286472265192659</v>
      </c>
      <c r="M95" s="99">
        <v>0</v>
      </c>
      <c r="N95" s="99">
        <v>-3.079022813999999</v>
      </c>
      <c r="O95" s="99">
        <v>-3.6489722651926577</v>
      </c>
      <c r="P95" s="99">
        <v>0</v>
      </c>
      <c r="Q95" s="99">
        <v>0</v>
      </c>
      <c r="R95" s="99">
        <v>1.0760277348073415</v>
      </c>
    </row>
    <row r="96">
      <c r="B96" t="s" s="9">
        <v>631</v>
      </c>
      <c r="C96" s="139">
        <f>'Debt Schedule'!E99</f>
        <v>0</v>
      </c>
      <c r="D96" s="99">
        <v>0</v>
      </c>
      <c r="E96" s="99">
        <v>0</v>
      </c>
      <c r="F96" s="99">
        <v>13.396661909756823</v>
      </c>
      <c r="G96" s="99">
        <v>0</v>
      </c>
      <c r="H96" s="99">
        <v>0</v>
      </c>
      <c r="I96" s="99">
        <v>0.045969488381820876</v>
      </c>
      <c r="J96" s="99">
        <v>0</v>
      </c>
      <c r="K96" s="99">
        <v>-10.339442421375002</v>
      </c>
      <c r="L96" s="99">
        <v>-13.641530511618182</v>
      </c>
      <c r="M96" s="99">
        <v>0</v>
      </c>
      <c r="N96" s="99">
        <v>-24.026942421374994</v>
      </c>
      <c r="O96" s="99">
        <v>-27.32903051161818</v>
      </c>
      <c r="P96" s="99">
        <v>0</v>
      </c>
      <c r="Q96" s="99">
        <v>0</v>
      </c>
      <c r="R96" s="99">
        <v>0.03460182350682052</v>
      </c>
    </row>
    <row r="97">
      <c r="B97" t="s" s="9">
        <v>632</v>
      </c>
      <c r="C97" s="139">
        <f>'Debt Schedule'!F99</f>
        <v>0</v>
      </c>
      <c r="D97" s="99">
        <v>0</v>
      </c>
      <c r="E97" s="99">
        <v>0</v>
      </c>
      <c r="F97" s="99">
        <v>13.433365093071224</v>
      </c>
      <c r="G97" s="99">
        <v>0</v>
      </c>
      <c r="H97" s="99">
        <v>0</v>
      </c>
      <c r="I97" s="99">
        <v>-1.2309737014287745</v>
      </c>
      <c r="J97" s="99">
        <v>0</v>
      </c>
      <c r="K97" s="99">
        <v>-11.6448387945</v>
      </c>
      <c r="L97" s="99">
        <v>-14.955973701428775</v>
      </c>
      <c r="M97" s="99">
        <v>0</v>
      </c>
      <c r="N97" s="99">
        <v>-25.369838794499998</v>
      </c>
      <c r="O97" s="99">
        <v>-28.68097370142877</v>
      </c>
      <c r="P97" s="99">
        <v>0</v>
      </c>
      <c r="Q97" s="99">
        <v>0</v>
      </c>
      <c r="R97" s="99">
        <v>-2.130451114928779</v>
      </c>
    </row>
    <row r="98">
      <c r="B98" t="s" s="9">
        <v>633</v>
      </c>
      <c r="C98" s="139">
        <f>'Debt Schedule'!G99</f>
        <v>0</v>
      </c>
      <c r="D98" s="99">
        <v>0</v>
      </c>
      <c r="E98" s="99">
        <v>0</v>
      </c>
      <c r="F98" s="99">
        <v>6.459760263334797</v>
      </c>
      <c r="G98" s="99">
        <v>0</v>
      </c>
      <c r="H98" s="99">
        <v>0</v>
      </c>
      <c r="I98" s="99">
        <v>0.0009461009597957864</v>
      </c>
      <c r="J98" s="99">
        <v>0</v>
      </c>
      <c r="K98" s="99">
        <v>-5.006814162375001</v>
      </c>
      <c r="L98" s="99">
        <v>-6.5990538990402055</v>
      </c>
      <c r="M98" s="99">
        <v>0</v>
      </c>
      <c r="N98" s="99">
        <v>-11.606814162374999</v>
      </c>
      <c r="O98" s="99">
        <v>-13.199053899040203</v>
      </c>
      <c r="P98" s="99">
        <v>0</v>
      </c>
      <c r="Q98" s="99">
        <v>0</v>
      </c>
      <c r="R98" s="99">
        <v>-1.024479224665205</v>
      </c>
    </row>
    <row r="99">
      <c r="B99" t="s" s="9">
        <v>634</v>
      </c>
      <c r="C99" s="139">
        <f>'Debt Schedule'!H99</f>
        <v>0</v>
      </c>
      <c r="D99" s="99">
        <v>0</v>
      </c>
      <c r="E99" s="99">
        <v>0</v>
      </c>
      <c r="F99" s="99">
        <v>0</v>
      </c>
      <c r="G99" s="99">
        <v>0</v>
      </c>
      <c r="H99" s="99">
        <v>0</v>
      </c>
      <c r="I99" s="99">
        <v>0</v>
      </c>
      <c r="J99" s="99">
        <v>0</v>
      </c>
      <c r="K99" s="99">
        <v>0</v>
      </c>
      <c r="L99" s="99">
        <v>0</v>
      </c>
      <c r="M99" s="99">
        <v>0</v>
      </c>
      <c r="N99" s="99">
        <v>0</v>
      </c>
      <c r="O99" s="99">
        <v>0</v>
      </c>
      <c r="P99" s="99">
        <v>0</v>
      </c>
      <c r="Q99" s="99">
        <v>0</v>
      </c>
      <c r="R99" s="99">
        <v>0</v>
      </c>
    </row>
    <row r="100">
      <c r="B100" t="s" s="9">
        <v>635</v>
      </c>
      <c r="C100" s="139">
        <f>'Debt Schedule'!I99</f>
        <v>0</v>
      </c>
      <c r="D100" s="99">
        <v>0</v>
      </c>
      <c r="E100" s="99">
        <v>0</v>
      </c>
      <c r="F100" s="99">
        <v>0</v>
      </c>
      <c r="G100" s="99">
        <v>0</v>
      </c>
      <c r="H100" s="99">
        <v>0</v>
      </c>
      <c r="I100" s="99">
        <v>0</v>
      </c>
      <c r="J100" s="99">
        <v>0</v>
      </c>
      <c r="K100" s="99">
        <v>0</v>
      </c>
      <c r="L100" s="99">
        <v>0</v>
      </c>
      <c r="M100" s="99">
        <v>0</v>
      </c>
      <c r="N100" s="99">
        <v>0</v>
      </c>
      <c r="O100" s="99">
        <v>0</v>
      </c>
      <c r="P100" s="99">
        <v>0</v>
      </c>
      <c r="Q100" s="99">
        <v>0</v>
      </c>
      <c r="R100" s="99">
        <v>0</v>
      </c>
    </row>
    <row r="101">
      <c r="B101" t="s" s="9">
        <v>636</v>
      </c>
      <c r="C101" s="139">
        <f>'Debt Schedule'!D101</f>
        <v>87.05266708154969</v>
      </c>
      <c r="D101" s="99">
        <v>82.85512428445894</v>
      </c>
      <c r="E101" s="99">
        <v>82.85512428445894</v>
      </c>
      <c r="F101" s="99">
        <v>85.16742483326628</v>
      </c>
      <c r="G101" s="99">
        <v>87.05266708154969</v>
      </c>
      <c r="H101" s="99">
        <v>87.05266708154969</v>
      </c>
      <c r="I101" s="99">
        <v>88.12869481635703</v>
      </c>
      <c r="J101" s="99">
        <v>91.76394944572753</v>
      </c>
      <c r="K101" s="99">
        <v>91.03195910144075</v>
      </c>
      <c r="L101" s="99">
        <v>90.45682940323786</v>
      </c>
      <c r="M101" s="99">
        <v>96.55801999786944</v>
      </c>
      <c r="N101" s="99">
        <v>93.40975487581717</v>
      </c>
      <c r="O101" s="99">
        <v>92.82698817127574</v>
      </c>
      <c r="P101" s="99">
        <v>87.05266708154969</v>
      </c>
      <c r="Q101" s="99">
        <v>87.05266708154969</v>
      </c>
      <c r="R101" s="99">
        <v>88.12869481635703</v>
      </c>
    </row>
    <row r="102">
      <c r="B102" t="s" s="9">
        <v>637</v>
      </c>
      <c r="C102" s="139">
        <f>'Debt Schedule'!E101</f>
        <v>191.05438753749908</v>
      </c>
      <c r="D102" s="99">
        <v>163.33929228091063</v>
      </c>
      <c r="E102" s="99">
        <v>163.33929228091063</v>
      </c>
      <c r="F102" s="99">
        <v>177.21143482517823</v>
      </c>
      <c r="G102" s="99">
        <v>191.05438753749908</v>
      </c>
      <c r="H102" s="99">
        <v>191.05438753749908</v>
      </c>
      <c r="I102" s="99">
        <v>191.14134213443123</v>
      </c>
      <c r="J102" s="99">
        <v>219.8668418311137</v>
      </c>
      <c r="K102" s="99">
        <v>209.0386677562202</v>
      </c>
      <c r="L102" s="99">
        <v>205.5654571839123</v>
      </c>
      <c r="M102" s="99">
        <v>249.43573207408937</v>
      </c>
      <c r="N102" s="99">
        <v>223.77714799079797</v>
      </c>
      <c r="O102" s="99">
        <v>220.26282021219328</v>
      </c>
      <c r="P102" s="99">
        <v>191.07799543205587</v>
      </c>
      <c r="Q102" s="99">
        <v>191.07799543205587</v>
      </c>
      <c r="R102" s="99">
        <v>191.15318509378946</v>
      </c>
    </row>
    <row r="103">
      <c r="B103" t="s" s="9">
        <v>638</v>
      </c>
      <c r="C103" s="139">
        <f>'Debt Schedule'!F101</f>
        <v>220.77962336453433</v>
      </c>
      <c r="D103" s="99">
        <v>188.17811352082558</v>
      </c>
      <c r="E103" s="99">
        <v>188.17811352082558</v>
      </c>
      <c r="F103" s="99">
        <v>203.2402931062857</v>
      </c>
      <c r="G103" s="99">
        <v>220.77962336453433</v>
      </c>
      <c r="H103" s="99">
        <v>220.77962336453433</v>
      </c>
      <c r="I103" s="99">
        <v>219.59760700888236</v>
      </c>
      <c r="J103" s="99">
        <v>252.59832410451892</v>
      </c>
      <c r="K103" s="99">
        <v>239.3261833257065</v>
      </c>
      <c r="L103" s="99">
        <v>235.47956602972087</v>
      </c>
      <c r="M103" s="99">
        <v>285.70568393129474</v>
      </c>
      <c r="N103" s="99">
        <v>255.80466524257722</v>
      </c>
      <c r="O103" s="99">
        <v>251.89040140709832</v>
      </c>
      <c r="P103" s="99">
        <v>222.6559791857145</v>
      </c>
      <c r="Q103" s="99">
        <v>222.6559791857145</v>
      </c>
      <c r="R103" s="99">
        <v>220.53678313035488</v>
      </c>
    </row>
    <row r="104">
      <c r="B104" t="s" s="9">
        <v>639</v>
      </c>
      <c r="C104" s="139">
        <f>'Debt Schedule'!G101</f>
        <v>236.3845456435771</v>
      </c>
      <c r="D104" s="99">
        <v>204.38024977381028</v>
      </c>
      <c r="E104" s="99">
        <v>204.38024977381028</v>
      </c>
      <c r="F104" s="99">
        <v>213.67498153068584</v>
      </c>
      <c r="G104" s="99">
        <v>236.3845456435771</v>
      </c>
      <c r="H104" s="99">
        <v>236.3845456435771</v>
      </c>
      <c r="I104" s="99">
        <v>236.3890596903102</v>
      </c>
      <c r="J104" s="99">
        <v>271.32066786867944</v>
      </c>
      <c r="K104" s="99">
        <v>263.4791308998009</v>
      </c>
      <c r="L104" s="99">
        <v>260.9835746733776</v>
      </c>
      <c r="M104" s="99">
        <v>308.08127272015815</v>
      </c>
      <c r="N104" s="99">
        <v>289.1927019862319</v>
      </c>
      <c r="O104" s="99">
        <v>286.5872146136977</v>
      </c>
      <c r="P104" s="99">
        <v>241.53094480328127</v>
      </c>
      <c r="Q104" s="99">
        <v>241.53094480328127</v>
      </c>
      <c r="R104" s="99">
        <v>240.3732078352538</v>
      </c>
    </row>
    <row r="105">
      <c r="B105" t="s" s="9">
        <v>640</v>
      </c>
      <c r="C105" s="139">
        <f>'Debt Schedule'!H101</f>
        <v>224.61186090868486</v>
      </c>
      <c r="D105" s="99">
        <v>193.09775921752387</v>
      </c>
      <c r="E105" s="99">
        <v>193.09775921752387</v>
      </c>
      <c r="F105" s="99">
        <v>196.42367385583754</v>
      </c>
      <c r="G105" s="99">
        <v>224.61186090868486</v>
      </c>
      <c r="H105" s="99">
        <v>224.61186090868486</v>
      </c>
      <c r="I105" s="99">
        <v>224.61576493983497</v>
      </c>
      <c r="J105" s="99">
        <v>261.7627559920554</v>
      </c>
      <c r="K105" s="99">
        <v>258.4072897839508</v>
      </c>
      <c r="L105" s="99">
        <v>257.33819699176485</v>
      </c>
      <c r="M105" s="99">
        <v>301.73109939889605</v>
      </c>
      <c r="N105" s="99">
        <v>292.9822349915495</v>
      </c>
      <c r="O105" s="99">
        <v>291.77211513243003</v>
      </c>
      <c r="P105" s="99">
        <v>231.9139974973912</v>
      </c>
      <c r="Q105" s="99">
        <v>231.9139974973912</v>
      </c>
      <c r="R105" s="99">
        <v>231.72051611652708</v>
      </c>
    </row>
    <row r="106">
      <c r="B106" t="s" s="9">
        <v>641</v>
      </c>
      <c r="C106" s="139">
        <f>'Debt Schedule'!I101</f>
        <v>209.24407088217347</v>
      </c>
      <c r="D106" s="99">
        <v>177.08005501658963</v>
      </c>
      <c r="E106" s="99">
        <v>177.08005501658926</v>
      </c>
      <c r="F106" s="99">
        <v>180.67519882862098</v>
      </c>
      <c r="G106" s="99">
        <v>209.24407088217347</v>
      </c>
      <c r="H106" s="99">
        <v>209.24407088217347</v>
      </c>
      <c r="I106" s="99">
        <v>209.24832379803888</v>
      </c>
      <c r="J106" s="99">
        <v>248.2416301083288</v>
      </c>
      <c r="K106" s="99">
        <v>244.54907478357774</v>
      </c>
      <c r="L106" s="99">
        <v>243.3725812540336</v>
      </c>
      <c r="M106" s="99">
        <v>291.1854748925871</v>
      </c>
      <c r="N106" s="99">
        <v>281.4362144520526</v>
      </c>
      <c r="O106" s="99">
        <v>280.09098570755776</v>
      </c>
      <c r="P106" s="99">
        <v>216.9948499974166</v>
      </c>
      <c r="Q106" s="99">
        <v>216.9948499974166</v>
      </c>
      <c r="R106" s="99">
        <v>216.78331718312404</v>
      </c>
    </row>
    <row r="107">
      <c r="B107" t="s" s="9">
        <v>642</v>
      </c>
      <c r="C107" s="139">
        <f>'Debt Schedule'!D67</f>
        <v>35.17975940160628</v>
      </c>
      <c r="D107" s="99">
        <v>35.17975940160628</v>
      </c>
      <c r="E107" s="99">
        <v>35.17975940160628</v>
      </c>
      <c r="F107" s="99">
        <v>35.17975940160628</v>
      </c>
      <c r="G107" s="99">
        <v>35.17975940160628</v>
      </c>
      <c r="H107" s="99">
        <v>35.17975940160628</v>
      </c>
      <c r="I107" s="99">
        <v>35.17975940160628</v>
      </c>
      <c r="J107" s="99">
        <v>35.17975940160628</v>
      </c>
      <c r="K107" s="99">
        <v>35.17975940160628</v>
      </c>
      <c r="L107" s="99">
        <v>35.17975940160628</v>
      </c>
      <c r="M107" s="99">
        <v>35.17975940160628</v>
      </c>
      <c r="N107" s="99">
        <v>35.17975940160628</v>
      </c>
      <c r="O107" s="99">
        <v>35.17975940160628</v>
      </c>
      <c r="P107" s="99">
        <v>35.17975940160628</v>
      </c>
      <c r="Q107" s="99">
        <v>35.17975940160628</v>
      </c>
      <c r="R107" s="99">
        <v>35.17975940160628</v>
      </c>
    </row>
    <row r="108">
      <c r="B108" t="s" s="9">
        <v>643</v>
      </c>
      <c r="C108" s="139">
        <f>'Debt Schedule'!E67</f>
        <v>68.69876612515387</v>
      </c>
      <c r="D108" s="99">
        <v>68.30439953847986</v>
      </c>
      <c r="E108" s="99">
        <v>68.30439953847986</v>
      </c>
      <c r="F108" s="99">
        <v>68.5100572523686</v>
      </c>
      <c r="G108" s="99">
        <v>68.69876612515387</v>
      </c>
      <c r="H108" s="99">
        <v>68.69876612515387</v>
      </c>
      <c r="I108" s="99">
        <v>68.71393367655503</v>
      </c>
      <c r="J108" s="99">
        <v>69.1134798734947</v>
      </c>
      <c r="K108" s="99">
        <v>68.9671486783152</v>
      </c>
      <c r="L108" s="99">
        <v>68.91574213891501</v>
      </c>
      <c r="M108" s="99">
        <v>69.24505720004066</v>
      </c>
      <c r="N108" s="99">
        <v>69.17267809545646</v>
      </c>
      <c r="O108" s="99">
        <v>69.1208161399736</v>
      </c>
      <c r="P108" s="99">
        <v>68.6990568832581</v>
      </c>
      <c r="Q108" s="99">
        <v>68.6990568832581</v>
      </c>
      <c r="R108" s="99">
        <v>68.71407556855566</v>
      </c>
    </row>
    <row r="109">
      <c r="B109" t="s" s="9">
        <v>644</v>
      </c>
      <c r="C109" s="139">
        <f>'Debt Schedule'!F67</f>
        <v>31.58228550594491</v>
      </c>
      <c r="D109" s="99">
        <v>31.034149991009045</v>
      </c>
      <c r="E109" s="99">
        <v>31.034149991009045</v>
      </c>
      <c r="F109" s="99">
        <v>31.311209698027255</v>
      </c>
      <c r="G109" s="99">
        <v>31.58228550594491</v>
      </c>
      <c r="H109" s="99">
        <v>31.58228550594491</v>
      </c>
      <c r="I109" s="99">
        <v>31.58947542182776</v>
      </c>
      <c r="J109" s="99">
        <v>32.14500002648517</v>
      </c>
      <c r="K109" s="99">
        <v>31.93310676147225</v>
      </c>
      <c r="L109" s="99">
        <v>31.863380851427276</v>
      </c>
      <c r="M109" s="99">
        <v>32.396706695834524</v>
      </c>
      <c r="N109" s="99">
        <v>32.213896463023</v>
      </c>
      <c r="O109" s="99">
        <v>32.143358949459056</v>
      </c>
      <c r="P109" s="99">
        <v>31.593108140612085</v>
      </c>
      <c r="Q109" s="99">
        <v>31.593108140612085</v>
      </c>
      <c r="R109" s="99">
        <v>31.59474733195639</v>
      </c>
    </row>
    <row r="110">
      <c r="B110" t="s" s="9">
        <v>645</v>
      </c>
      <c r="C110" s="139">
        <f>'Debt Schedule'!G67</f>
        <v>0</v>
      </c>
      <c r="D110" s="99">
        <v>0</v>
      </c>
      <c r="E110" s="99">
        <v>0</v>
      </c>
      <c r="F110" s="99">
        <v>0</v>
      </c>
      <c r="G110" s="99">
        <v>0</v>
      </c>
      <c r="H110" s="99">
        <v>0</v>
      </c>
      <c r="I110" s="99">
        <v>0</v>
      </c>
      <c r="J110" s="99">
        <v>0</v>
      </c>
      <c r="K110" s="99">
        <v>0</v>
      </c>
      <c r="L110" s="99">
        <v>0</v>
      </c>
      <c r="M110" s="99">
        <v>0</v>
      </c>
      <c r="N110" s="99">
        <v>0</v>
      </c>
      <c r="O110" s="99">
        <v>0</v>
      </c>
      <c r="P110" s="99">
        <v>0</v>
      </c>
      <c r="Q110" s="99">
        <v>0</v>
      </c>
      <c r="R110" s="99">
        <v>0</v>
      </c>
    </row>
    <row r="111">
      <c r="B111" t="s" s="9">
        <v>646</v>
      </c>
      <c r="C111" s="139">
        <f>'Debt Schedule'!H67</f>
        <v>0</v>
      </c>
      <c r="D111" s="99">
        <v>0</v>
      </c>
      <c r="E111" s="99">
        <v>0</v>
      </c>
      <c r="F111" s="99">
        <v>0</v>
      </c>
      <c r="G111" s="99">
        <v>0</v>
      </c>
      <c r="H111" s="99">
        <v>0</v>
      </c>
      <c r="I111" s="99">
        <v>0</v>
      </c>
      <c r="J111" s="99">
        <v>0</v>
      </c>
      <c r="K111" s="99">
        <v>0</v>
      </c>
      <c r="L111" s="99">
        <v>0</v>
      </c>
      <c r="M111" s="99">
        <v>0</v>
      </c>
      <c r="N111" s="99">
        <v>0</v>
      </c>
      <c r="O111" s="99">
        <v>0</v>
      </c>
      <c r="P111" s="99">
        <v>0</v>
      </c>
      <c r="Q111" s="99">
        <v>0</v>
      </c>
      <c r="R111" s="99">
        <v>0</v>
      </c>
    </row>
    <row r="112">
      <c r="B112" t="s" s="9">
        <v>647</v>
      </c>
      <c r="C112" s="139">
        <f>'Debt Schedule'!I67</f>
        <v>0</v>
      </c>
      <c r="D112" s="99">
        <v>0</v>
      </c>
      <c r="E112" s="99">
        <v>0</v>
      </c>
      <c r="F112" s="99">
        <v>0</v>
      </c>
      <c r="G112" s="99">
        <v>0</v>
      </c>
      <c r="H112" s="99">
        <v>0</v>
      </c>
      <c r="I112" s="99">
        <v>0</v>
      </c>
      <c r="J112" s="99">
        <v>0</v>
      </c>
      <c r="K112" s="99">
        <v>0</v>
      </c>
      <c r="L112" s="99">
        <v>0</v>
      </c>
      <c r="M112" s="99">
        <v>0</v>
      </c>
      <c r="N112" s="99">
        <v>0</v>
      </c>
      <c r="O112" s="99">
        <v>0</v>
      </c>
      <c r="P112" s="99">
        <v>0</v>
      </c>
      <c r="Q112" s="99">
        <v>0</v>
      </c>
      <c r="R112" s="99">
        <v>0</v>
      </c>
    </row>
    <row r="113">
      <c r="B113" t="s" s="9">
        <v>648</v>
      </c>
      <c r="C113" s="140">
        <f>'Credit Stats'!D20</f>
        <v>1.9909755325578997</v>
      </c>
      <c r="D113" s="100">
        <v>2.0918408088826363</v>
      </c>
      <c r="E113" s="100">
        <v>2.0918408088826363</v>
      </c>
      <c r="F113" s="100">
        <v>2.0350472089837743</v>
      </c>
      <c r="G113" s="100">
        <v>1.9909755325578997</v>
      </c>
      <c r="H113" s="100">
        <v>1.9909755325578997</v>
      </c>
      <c r="I113" s="100">
        <v>1.9666662551219938</v>
      </c>
      <c r="J113" s="100">
        <v>1.8887562190834146</v>
      </c>
      <c r="K113" s="100">
        <v>1.9039437568309</v>
      </c>
      <c r="L113" s="100">
        <v>1.9160491401998005</v>
      </c>
      <c r="M113" s="100">
        <v>1.7949801601886437</v>
      </c>
      <c r="N113" s="100">
        <v>1.855477839907539</v>
      </c>
      <c r="O113" s="100">
        <v>1.8671265072554164</v>
      </c>
      <c r="P113" s="100">
        <v>1.9909755325578997</v>
      </c>
      <c r="Q113" s="100">
        <v>1.9909755325578997</v>
      </c>
      <c r="R113" s="100">
        <v>1.9666662551219938</v>
      </c>
    </row>
    <row r="114">
      <c r="B114" t="s" s="9">
        <v>649</v>
      </c>
      <c r="C114" s="140">
        <f>'Credit Stats'!E20</f>
        <v>2.069958151053734</v>
      </c>
      <c r="D114" s="100">
        <v>2.4211846473394085</v>
      </c>
      <c r="E114" s="100">
        <v>2.4211846473394085</v>
      </c>
      <c r="F114" s="100">
        <v>2.2316538837799427</v>
      </c>
      <c r="G114" s="100">
        <v>2.069958151053734</v>
      </c>
      <c r="H114" s="100">
        <v>2.069958151053734</v>
      </c>
      <c r="I114" s="100">
        <v>2.0690164794369013</v>
      </c>
      <c r="J114" s="100">
        <v>1.7987004474353665</v>
      </c>
      <c r="K114" s="100">
        <v>1.8918728818106778</v>
      </c>
      <c r="L114" s="100">
        <v>1.9238377507365343</v>
      </c>
      <c r="M114" s="100">
        <v>1.5854768821187102</v>
      </c>
      <c r="N114" s="100">
        <v>1.7672697606910586</v>
      </c>
      <c r="O114" s="100">
        <v>1.795466826388762</v>
      </c>
      <c r="P114" s="100">
        <v>2.0697024054685005</v>
      </c>
      <c r="Q114" s="100">
        <v>2.0697024054685005</v>
      </c>
      <c r="R114" s="100">
        <v>2.068888292830618</v>
      </c>
    </row>
    <row r="115">
      <c r="B115" t="s" s="9">
        <v>650</v>
      </c>
      <c r="C115" s="140">
        <f>'Credit Stats'!F20</f>
        <v>2.0518952650794984</v>
      </c>
      <c r="D115" s="100">
        <v>2.4073823216300223</v>
      </c>
      <c r="E115" s="100">
        <v>2.4073823216300223</v>
      </c>
      <c r="F115" s="100">
        <v>2.2289707266403878</v>
      </c>
      <c r="G115" s="100">
        <v>2.0518952650794984</v>
      </c>
      <c r="H115" s="100">
        <v>2.0518952650794984</v>
      </c>
      <c r="I115" s="100">
        <v>2.0629398925526505</v>
      </c>
      <c r="J115" s="100">
        <v>1.793427036437011</v>
      </c>
      <c r="K115" s="100">
        <v>1.8928838354105135</v>
      </c>
      <c r="L115" s="100">
        <v>1.923804563791942</v>
      </c>
      <c r="M115" s="100">
        <v>1.5856060599643598</v>
      </c>
      <c r="N115" s="100">
        <v>1.7709476227813572</v>
      </c>
      <c r="O115" s="100">
        <v>1.7984673543616692</v>
      </c>
      <c r="P115" s="100">
        <v>2.0346036314159233</v>
      </c>
      <c r="Q115" s="100">
        <v>2.0346036314159233</v>
      </c>
      <c r="R115" s="100">
        <v>2.0541546737804457</v>
      </c>
    </row>
    <row r="116">
      <c r="B116" t="s" s="9">
        <v>651</v>
      </c>
      <c r="C116" s="140">
        <f>'Credit Stats'!G20</f>
        <v>2.1751728231522582</v>
      </c>
      <c r="D116" s="100">
        <v>2.515787313432431</v>
      </c>
      <c r="E116" s="100">
        <v>2.515787313432431</v>
      </c>
      <c r="F116" s="100">
        <v>2.406352095194928</v>
      </c>
      <c r="G116" s="100">
        <v>2.1751728231522582</v>
      </c>
      <c r="H116" s="100">
        <v>2.1751728231522582</v>
      </c>
      <c r="I116" s="100">
        <v>2.1751312864085985</v>
      </c>
      <c r="J116" s="100">
        <v>1.8950905713750041</v>
      </c>
      <c r="K116" s="100">
        <v>1.951491329659202</v>
      </c>
      <c r="L116" s="100">
        <v>1.9701517236883552</v>
      </c>
      <c r="M116" s="100">
        <v>1.6689662275063049</v>
      </c>
      <c r="N116" s="100">
        <v>1.7779744646584572</v>
      </c>
      <c r="O116" s="100">
        <v>1.7941387936310533</v>
      </c>
      <c r="P116" s="100">
        <v>2.1288255213669753</v>
      </c>
      <c r="Q116" s="100">
        <v>2.1288255213669753</v>
      </c>
      <c r="R116" s="100">
        <v>2.1390788271607564</v>
      </c>
    </row>
    <row r="117">
      <c r="B117" t="s" s="9">
        <v>652</v>
      </c>
      <c r="C117" s="140">
        <f>'Credit Stats'!H20</f>
        <v>2.5532650418193032</v>
      </c>
      <c r="D117" s="100">
        <v>2.969965134551802</v>
      </c>
      <c r="E117" s="100">
        <v>2.969965134551802</v>
      </c>
      <c r="F117" s="100">
        <v>2.9196766417118973</v>
      </c>
      <c r="G117" s="100">
        <v>2.5532650418193032</v>
      </c>
      <c r="H117" s="100">
        <v>2.5532650418193032</v>
      </c>
      <c r="I117" s="100">
        <v>2.5532206636953525</v>
      </c>
      <c r="J117" s="100">
        <v>2.1908907944624882</v>
      </c>
      <c r="K117" s="100">
        <v>2.2193399145806274</v>
      </c>
      <c r="L117" s="100">
        <v>2.22856000057573</v>
      </c>
      <c r="M117" s="100">
        <v>1.900677833934353</v>
      </c>
      <c r="N117" s="100">
        <v>1.957434765465101</v>
      </c>
      <c r="O117" s="100">
        <v>1.9655531926888437</v>
      </c>
      <c r="P117" s="100">
        <v>2.4728719207324947</v>
      </c>
      <c r="Q117" s="100">
        <v>2.4728719207324947</v>
      </c>
      <c r="R117" s="100">
        <v>2.474936712758432</v>
      </c>
    </row>
    <row r="118">
      <c r="B118" t="s" s="9">
        <v>653</v>
      </c>
      <c r="C118" s="140">
        <f>'Credit Stats'!I20</f>
        <v>3.0396481535638378</v>
      </c>
      <c r="D118" s="100">
        <v>3.591756020414572</v>
      </c>
      <c r="E118" s="100">
        <v>3.5917560204145795</v>
      </c>
      <c r="F118" s="100">
        <v>3.520285893275715</v>
      </c>
      <c r="G118" s="100">
        <v>3.0396481535638378</v>
      </c>
      <c r="H118" s="100">
        <v>3.0396481535638378</v>
      </c>
      <c r="I118" s="100">
        <v>3.0395863735331887</v>
      </c>
      <c r="J118" s="100">
        <v>2.5621341328754026</v>
      </c>
      <c r="K118" s="100">
        <v>2.600820936509594</v>
      </c>
      <c r="L118" s="100">
        <v>2.6133936305556524</v>
      </c>
      <c r="M118" s="100">
        <v>2.184272254430955</v>
      </c>
      <c r="N118" s="100">
        <v>2.259937851066916</v>
      </c>
      <c r="O118" s="100">
        <v>2.270791943176832</v>
      </c>
      <c r="P118" s="100">
        <v>2.9310758006872124</v>
      </c>
      <c r="Q118" s="100">
        <v>2.9310758006872124</v>
      </c>
      <c r="R118" s="100">
        <v>2.9339358856839763</v>
      </c>
    </row>
    <row r="119">
      <c r="B119" t="s" s="9">
        <v>654</v>
      </c>
      <c r="C119" s="140">
        <f>'Debt Schedule'!D120</f>
        <v>7.936648178943915</v>
      </c>
      <c r="D119" s="100">
        <v>7.9243497383162325</v>
      </c>
      <c r="E119" s="100">
        <v>7.9243497383162325</v>
      </c>
      <c r="F119" s="100">
        <v>7.931321661937808</v>
      </c>
      <c r="G119" s="100">
        <v>7.936648178943915</v>
      </c>
      <c r="H119" s="100">
        <v>7.936648178943915</v>
      </c>
      <c r="I119" s="100">
        <v>7.939895090295016</v>
      </c>
      <c r="J119" s="100">
        <v>7.950444617335603</v>
      </c>
      <c r="K119" s="100">
        <v>7.94825773061367</v>
      </c>
      <c r="L119" s="100">
        <v>7.946528741387658</v>
      </c>
      <c r="M119" s="100">
        <v>7.96438058293181</v>
      </c>
      <c r="N119" s="100">
        <v>7.95497485887236</v>
      </c>
      <c r="O119" s="100">
        <v>7.953233791140942</v>
      </c>
      <c r="P119" s="100">
        <v>7.936648178943915</v>
      </c>
      <c r="Q119" s="100">
        <v>7.936648178943915</v>
      </c>
      <c r="R119" s="100">
        <v>7.939895090295016</v>
      </c>
    </row>
    <row r="120">
      <c r="B120" t="s" s="9">
        <v>655</v>
      </c>
      <c r="C120" s="140">
        <f>'Debt Schedule'!E120</f>
        <v>6.791135563205034</v>
      </c>
      <c r="D120" s="100">
        <v>6.711359698993447</v>
      </c>
      <c r="E120" s="100">
        <v>6.711359698993447</v>
      </c>
      <c r="F120" s="100">
        <v>6.752961909757858</v>
      </c>
      <c r="G120" s="100">
        <v>6.791135563205034</v>
      </c>
      <c r="H120" s="100">
        <v>6.791135563205034</v>
      </c>
      <c r="I120" s="100">
        <v>6.794203785924425</v>
      </c>
      <c r="J120" s="100">
        <v>6.875027426238712</v>
      </c>
      <c r="K120" s="100">
        <v>6.845426293812633</v>
      </c>
      <c r="L120" s="100">
        <v>6.8350273369908505</v>
      </c>
      <c r="M120" s="100">
        <v>6.960026784454753</v>
      </c>
      <c r="N120" s="100">
        <v>6.887002551607772</v>
      </c>
      <c r="O120" s="100">
        <v>6.876511469304777</v>
      </c>
      <c r="P120" s="100">
        <v>6.791194380254514</v>
      </c>
      <c r="Q120" s="100">
        <v>6.791194380254514</v>
      </c>
      <c r="R120" s="100">
        <v>6.7942324890584045</v>
      </c>
    </row>
    <row r="121">
      <c r="B121" t="s" s="9">
        <v>656</v>
      </c>
      <c r="C121" s="140">
        <f>'Debt Schedule'!F120</f>
        <v>5.879937018089394</v>
      </c>
      <c r="D121" s="100">
        <v>5.738887808626062</v>
      </c>
      <c r="E121" s="100">
        <v>5.738887808626062</v>
      </c>
      <c r="F121" s="100">
        <v>5.809065925555269</v>
      </c>
      <c r="G121" s="100">
        <v>5.879937018089394</v>
      </c>
      <c r="H121" s="100">
        <v>5.879937018089394</v>
      </c>
      <c r="I121" s="100">
        <v>5.880022175381402</v>
      </c>
      <c r="J121" s="100">
        <v>6.022996910374721</v>
      </c>
      <c r="K121" s="100">
        <v>5.967390722632194</v>
      </c>
      <c r="L121" s="100">
        <v>5.9496676077901025</v>
      </c>
      <c r="M121" s="100">
        <v>6.169181715159511</v>
      </c>
      <c r="N121" s="100">
        <v>6.039025228782494</v>
      </c>
      <c r="O121" s="100">
        <v>6.02107057404793</v>
      </c>
      <c r="P121" s="100">
        <v>5.884045669010337</v>
      </c>
      <c r="Q121" s="100">
        <v>5.884045669010337</v>
      </c>
      <c r="R121" s="100">
        <v>5.88202353138628</v>
      </c>
    </row>
    <row r="122">
      <c r="B122" t="s" s="9">
        <v>657</v>
      </c>
      <c r="C122" s="140">
        <f>'Debt Schedule'!G120</f>
        <v>5.01476122866013</v>
      </c>
      <c r="D122" s="100">
        <v>4.829642596965419</v>
      </c>
      <c r="E122" s="100">
        <v>4.829642596965419</v>
      </c>
      <c r="F122" s="100">
        <v>4.909550039388655</v>
      </c>
      <c r="G122" s="100">
        <v>5.01476122866013</v>
      </c>
      <c r="H122" s="100">
        <v>5.01476122866013</v>
      </c>
      <c r="I122" s="100">
        <v>5.014845035790721</v>
      </c>
      <c r="J122" s="100">
        <v>5.207291410372794</v>
      </c>
      <c r="K122" s="100">
        <v>5.143048841683113</v>
      </c>
      <c r="L122" s="100">
        <v>5.122580369382078</v>
      </c>
      <c r="M122" s="100">
        <v>5.406123154682079</v>
      </c>
      <c r="N122" s="100">
        <v>5.254713053292924</v>
      </c>
      <c r="O122" s="100">
        <v>5.23382678230452</v>
      </c>
      <c r="P122" s="100">
        <v>5.028132796582272</v>
      </c>
      <c r="Q122" s="100">
        <v>5.028132796582272</v>
      </c>
      <c r="R122" s="100">
        <v>5.024099558918415</v>
      </c>
    </row>
    <row r="123">
      <c r="B123" t="s" s="9">
        <v>658</v>
      </c>
      <c r="C123" s="140">
        <f>'Debt Schedule'!H120</f>
        <v>4.24731143697942</v>
      </c>
      <c r="D123" s="100">
        <v>4.027548766544511</v>
      </c>
      <c r="E123" s="100">
        <v>4.02754876654451</v>
      </c>
      <c r="F123" s="100">
        <v>4.104990784791424</v>
      </c>
      <c r="G123" s="100">
        <v>4.24731143697942</v>
      </c>
      <c r="H123" s="100">
        <v>4.24731143697942</v>
      </c>
      <c r="I123" s="100">
        <v>4.247393383402516</v>
      </c>
      <c r="J123" s="100">
        <v>4.483400435183116</v>
      </c>
      <c r="K123" s="100">
        <v>4.419951545699241</v>
      </c>
      <c r="L123" s="100">
        <v>4.39973594935213</v>
      </c>
      <c r="M123" s="100">
        <v>4.730052006815332</v>
      </c>
      <c r="N123" s="100">
        <v>4.579046850869556</v>
      </c>
      <c r="O123" s="100">
        <v>4.558210760004366</v>
      </c>
      <c r="P123" s="100">
        <v>4.2717099854136835</v>
      </c>
      <c r="Q123" s="100">
        <v>4.2717099854136835</v>
      </c>
      <c r="R123" s="100">
        <v>4.2677565318094315</v>
      </c>
    </row>
    <row r="124">
      <c r="B124" t="s" s="9">
        <v>659</v>
      </c>
      <c r="C124" s="140">
        <f>'Debt Schedule'!I120</f>
        <v>3.504661771324808</v>
      </c>
      <c r="D124" s="100">
        <v>3.2569713462921066</v>
      </c>
      <c r="E124" s="100">
        <v>3.2569713462920964</v>
      </c>
      <c r="F124" s="100">
        <v>3.332451702366517</v>
      </c>
      <c r="G124" s="100">
        <v>3.504661771324808</v>
      </c>
      <c r="H124" s="100">
        <v>3.504661771324808</v>
      </c>
      <c r="I124" s="100">
        <v>3.50474234739626</v>
      </c>
      <c r="J124" s="100">
        <v>3.7776733291460185</v>
      </c>
      <c r="K124" s="100">
        <v>3.7146571319487003</v>
      </c>
      <c r="L124" s="100">
        <v>3.694579396684403</v>
      </c>
      <c r="M124" s="100">
        <v>4.06641351590874</v>
      </c>
      <c r="N124" s="100">
        <v>3.914926947297328</v>
      </c>
      <c r="O124" s="100">
        <v>3.8940244298443623</v>
      </c>
      <c r="P124" s="100">
        <v>3.538545605685973</v>
      </c>
      <c r="Q124" s="100">
        <v>3.538545605685973</v>
      </c>
      <c r="R124" s="100">
        <v>3.534648274397251</v>
      </c>
    </row>
    <row r="125">
      <c r="B125" t="s" s="9">
        <v>660</v>
      </c>
      <c r="C125" s="139">
        <f>'Debt Schedule'!D59</f>
        <v>0</v>
      </c>
      <c r="D125" s="99">
        <v>0</v>
      </c>
      <c r="E125" s="99">
        <v>0</v>
      </c>
      <c r="F125" s="99">
        <v>0</v>
      </c>
      <c r="G125" s="99">
        <v>0</v>
      </c>
      <c r="H125" s="99">
        <v>0</v>
      </c>
      <c r="I125" s="99">
        <v>0</v>
      </c>
      <c r="J125" s="99">
        <v>0.9771420085925562</v>
      </c>
      <c r="K125" s="99">
        <v>0.24515166430577073</v>
      </c>
      <c r="L125" s="99">
        <v>0</v>
      </c>
      <c r="M125" s="99">
        <v>5.6417605059399385</v>
      </c>
      <c r="N125" s="99">
        <v>2.4934953838876734</v>
      </c>
      <c r="O125" s="99">
        <v>1.9107286793462461</v>
      </c>
      <c r="P125" s="99">
        <v>0</v>
      </c>
      <c r="Q125" s="99">
        <v>0</v>
      </c>
      <c r="R125" s="99">
        <v>0</v>
      </c>
    </row>
    <row r="126">
      <c r="B126" t="s" s="9">
        <v>661</v>
      </c>
      <c r="C126" s="139">
        <f>'Debt Schedule'!E59</f>
        <v>0</v>
      </c>
      <c r="D126" s="99">
        <v>0</v>
      </c>
      <c r="E126" s="99">
        <v>0</v>
      </c>
      <c r="F126" s="99">
        <v>0</v>
      </c>
      <c r="G126" s="99">
        <v>0</v>
      </c>
      <c r="H126" s="99">
        <v>0</v>
      </c>
      <c r="I126" s="99">
        <v>0</v>
      </c>
      <c r="J126" s="99">
        <v>-0.9771420085925562</v>
      </c>
      <c r="K126" s="99">
        <v>-0.24515166430577073</v>
      </c>
      <c r="L126" s="99">
        <v>0</v>
      </c>
      <c r="M126" s="99">
        <v>17.447139437252055</v>
      </c>
      <c r="N126" s="99">
        <v>-2.4934953838876734</v>
      </c>
      <c r="O126" s="99">
        <v>-1.9107286793462461</v>
      </c>
      <c r="P126" s="99">
        <v>0</v>
      </c>
      <c r="Q126" s="99">
        <v>0</v>
      </c>
      <c r="R126" s="99">
        <v>0</v>
      </c>
    </row>
    <row r="127">
      <c r="B127" t="s" s="9">
        <v>662</v>
      </c>
      <c r="C127" s="139">
        <f>'Debt Schedule'!F59</f>
        <v>0</v>
      </c>
      <c r="D127" s="99">
        <v>0</v>
      </c>
      <c r="E127" s="99">
        <v>0</v>
      </c>
      <c r="F127" s="99">
        <v>0</v>
      </c>
      <c r="G127" s="99">
        <v>0</v>
      </c>
      <c r="H127" s="99">
        <v>0</v>
      </c>
      <c r="I127" s="99">
        <v>0</v>
      </c>
      <c r="J127" s="99">
        <v>0</v>
      </c>
      <c r="K127" s="99">
        <v>0</v>
      </c>
      <c r="L127" s="99">
        <v>0</v>
      </c>
      <c r="M127" s="99">
        <v>9.83169578450043</v>
      </c>
      <c r="N127" s="99">
        <v>0</v>
      </c>
      <c r="O127" s="99">
        <v>0</v>
      </c>
      <c r="P127" s="99">
        <v>0</v>
      </c>
      <c r="Q127" s="99">
        <v>0</v>
      </c>
      <c r="R127" s="99">
        <v>0</v>
      </c>
    </row>
    <row r="128">
      <c r="B128" t="s" s="9">
        <v>663</v>
      </c>
      <c r="C128" s="139">
        <f>'Debt Schedule'!G59</f>
        <v>0</v>
      </c>
      <c r="D128" s="99">
        <v>0</v>
      </c>
      <c r="E128" s="99">
        <v>0</v>
      </c>
      <c r="F128" s="99">
        <v>0</v>
      </c>
      <c r="G128" s="99">
        <v>0</v>
      </c>
      <c r="H128" s="99">
        <v>0</v>
      </c>
      <c r="I128" s="99">
        <v>0</v>
      </c>
      <c r="J128" s="99">
        <v>0</v>
      </c>
      <c r="K128" s="99">
        <v>0</v>
      </c>
      <c r="L128" s="99">
        <v>0</v>
      </c>
      <c r="M128" s="99">
        <v>-15.036638967941416</v>
      </c>
      <c r="N128" s="99">
        <v>0</v>
      </c>
      <c r="O128" s="99">
        <v>0</v>
      </c>
      <c r="P128" s="99">
        <v>0</v>
      </c>
      <c r="Q128" s="99">
        <v>0</v>
      </c>
      <c r="R128" s="99">
        <v>0</v>
      </c>
    </row>
    <row r="129">
      <c r="B129" t="s" s="9">
        <v>664</v>
      </c>
      <c r="C129" s="139">
        <f>'Debt Schedule'!H59</f>
        <v>0</v>
      </c>
      <c r="D129" s="99">
        <v>0</v>
      </c>
      <c r="E129" s="99">
        <v>0</v>
      </c>
      <c r="F129" s="99">
        <v>0</v>
      </c>
      <c r="G129" s="99">
        <v>0</v>
      </c>
      <c r="H129" s="99">
        <v>0</v>
      </c>
      <c r="I129" s="99">
        <v>0</v>
      </c>
      <c r="J129" s="99">
        <v>0</v>
      </c>
      <c r="K129" s="99">
        <v>0</v>
      </c>
      <c r="L129" s="99">
        <v>0</v>
      </c>
      <c r="M129" s="99">
        <v>-17.883956761191488</v>
      </c>
      <c r="N129" s="99">
        <v>0</v>
      </c>
      <c r="O129" s="99">
        <v>0</v>
      </c>
      <c r="P129" s="99">
        <v>0</v>
      </c>
      <c r="Q129" s="99">
        <v>0</v>
      </c>
      <c r="R129" s="99">
        <v>0</v>
      </c>
    </row>
    <row r="130">
      <c r="B130" t="s" s="9">
        <v>665</v>
      </c>
      <c r="C130" s="139">
        <f>'Debt Schedule'!I59</f>
        <v>0</v>
      </c>
      <c r="D130" s="99">
        <v>0</v>
      </c>
      <c r="E130" s="99">
        <v>0</v>
      </c>
      <c r="F130" s="99">
        <v>0</v>
      </c>
      <c r="G130" s="99">
        <v>0</v>
      </c>
      <c r="H130" s="99">
        <v>0</v>
      </c>
      <c r="I130" s="99">
        <v>0</v>
      </c>
      <c r="J130" s="99">
        <v>0</v>
      </c>
      <c r="K130" s="99">
        <v>0</v>
      </c>
      <c r="L130" s="99">
        <v>0</v>
      </c>
      <c r="M130" s="99">
        <v>0</v>
      </c>
      <c r="N130" s="99">
        <v>0</v>
      </c>
      <c r="O130" s="99">
        <v>0</v>
      </c>
      <c r="P130" s="99">
        <v>0</v>
      </c>
      <c r="Q130" s="99">
        <v>0</v>
      </c>
      <c r="R130" s="99">
        <v>0</v>
      </c>
    </row>
    <row r="131">
      <c r="B131" t="s" s="9">
        <v>666</v>
      </c>
      <c r="C131" s="140">
        <f>MIN('Credit Stats'!$D$20:$I$20)</f>
        <v>1.9909755325578997</v>
      </c>
      <c r="D131" s="100">
        <v>2.0918408088826363</v>
      </c>
      <c r="E131" s="100">
        <v>2.0918408088826363</v>
      </c>
      <c r="F131" s="100">
        <v>2.0350472089837743</v>
      </c>
      <c r="G131" s="100">
        <v>1.9909755325578997</v>
      </c>
      <c r="H131" s="100">
        <v>1.9909755325578997</v>
      </c>
      <c r="I131" s="100">
        <v>1.9666662551219938</v>
      </c>
      <c r="J131" s="100">
        <v>1.793427036437011</v>
      </c>
      <c r="K131" s="100">
        <v>1.8918728818106778</v>
      </c>
      <c r="L131" s="100">
        <v>1.9160491401998005</v>
      </c>
      <c r="M131" s="100">
        <v>1.5854768821187102</v>
      </c>
      <c r="N131" s="100">
        <v>1.7672697606910586</v>
      </c>
      <c r="O131" s="100">
        <v>1.7941387936310533</v>
      </c>
      <c r="P131" s="100">
        <v>1.9909755325578997</v>
      </c>
      <c r="Q131" s="100">
        <v>1.9909755325578997</v>
      </c>
      <c r="R131" s="100">
        <v>1.9666662551219938</v>
      </c>
    </row>
    <row r="132">
      <c r="B132" t="s" s="9">
        <v>667</v>
      </c>
      <c r="C132" s="141">
        <f>YEAR(INDEX('Debt Schedule'!$D$6:$I$6,MATCH(MIN('Credit Stats'!$D$20:$I$20),'Credit Stats'!$D$20:$I$20,0)))</f>
        <v>2026</v>
      </c>
      <c r="D132" s="102">
        <v>2026</v>
      </c>
      <c r="E132" s="102">
        <v>2026</v>
      </c>
      <c r="F132" s="102">
        <v>2026</v>
      </c>
      <c r="G132" s="102">
        <v>2026</v>
      </c>
      <c r="H132" s="102">
        <v>2026</v>
      </c>
      <c r="I132" s="102">
        <v>2026</v>
      </c>
      <c r="J132" s="102">
        <v>2028</v>
      </c>
      <c r="K132" s="102">
        <v>2027</v>
      </c>
      <c r="L132" s="102">
        <v>2026</v>
      </c>
      <c r="M132" s="102">
        <v>2027</v>
      </c>
      <c r="N132" s="102">
        <v>2027</v>
      </c>
      <c r="O132" s="102">
        <v>2029</v>
      </c>
      <c r="P132" s="102">
        <v>2026</v>
      </c>
      <c r="Q132" s="102">
        <v>2026</v>
      </c>
      <c r="R132" s="102">
        <v>2026</v>
      </c>
    </row>
    <row r="133">
      <c r="B133" t="s" s="9">
        <v>370</v>
      </c>
      <c r="C133" s="139">
        <f>MAX('Debt Schedule'!$C$60:$I$60)</f>
        <v>0</v>
      </c>
      <c r="D133" s="99">
        <v>0</v>
      </c>
      <c r="E133" s="99">
        <v>0</v>
      </c>
      <c r="F133" s="99">
        <v>0</v>
      </c>
      <c r="G133" s="99">
        <v>0</v>
      </c>
      <c r="H133" s="99">
        <v>0</v>
      </c>
      <c r="I133" s="99">
        <v>0</v>
      </c>
      <c r="J133" s="99">
        <v>0.9771420085925562</v>
      </c>
      <c r="K133" s="99">
        <v>0.24515166430577073</v>
      </c>
      <c r="L133" s="99">
        <v>0</v>
      </c>
      <c r="M133" s="99">
        <v>32.92059572769243</v>
      </c>
      <c r="N133" s="99">
        <v>2.4934953838876734</v>
      </c>
      <c r="O133" s="99">
        <v>1.9107286793462461</v>
      </c>
      <c r="P133" s="99">
        <v>0</v>
      </c>
      <c r="Q133" s="99">
        <v>0</v>
      </c>
      <c r="R133" s="99">
        <v>0</v>
      </c>
    </row>
    <row r="134">
      <c r="B134" t="s" s="9">
        <v>358</v>
      </c>
      <c r="C134" s="139">
        <f>'Debt Schedule'!$H$118</f>
        <v>2435.8059791345954</v>
      </c>
      <c r="D134" s="99">
        <v>2309.77349138827</v>
      </c>
      <c r="E134" s="99">
        <v>2309.7734913882696</v>
      </c>
      <c r="F134" s="99">
        <v>2354.185994187036</v>
      </c>
      <c r="G134" s="99">
        <v>2435.8059791345954</v>
      </c>
      <c r="H134" s="99">
        <v>2435.8059791345954</v>
      </c>
      <c r="I134" s="99">
        <v>2435.852974884803</v>
      </c>
      <c r="J134" s="99">
        <v>2571.201511570859</v>
      </c>
      <c r="K134" s="99">
        <v>2534.813978735691</v>
      </c>
      <c r="L134" s="99">
        <v>2523.220463359036</v>
      </c>
      <c r="M134" s="99">
        <v>2712.654612399266</v>
      </c>
      <c r="N134" s="99">
        <v>2626.054120019443</v>
      </c>
      <c r="O134" s="99">
        <v>2614.1047550001176</v>
      </c>
      <c r="P134" s="99">
        <v>2449.798390814359</v>
      </c>
      <c r="Q134" s="99">
        <v>2449.798390814359</v>
      </c>
      <c r="R134" s="99">
        <v>2447.531110425258</v>
      </c>
    </row>
    <row r="135">
      <c r="B135" t="s" s="9">
        <v>481</v>
      </c>
      <c r="C135" s="142">
        <f>'Debt Schedule'!$H$133</f>
        <v>0.2082301161586022</v>
      </c>
      <c r="D135" s="137">
        <v>0.2107179328633042</v>
      </c>
      <c r="E135" s="137">
        <v>0.2107179328633042</v>
      </c>
      <c r="F135" s="137">
        <v>0.20984330683429042</v>
      </c>
      <c r="G135" s="137">
        <v>0.2082301161586022</v>
      </c>
      <c r="H135" s="137">
        <v>0.2082301161586022</v>
      </c>
      <c r="I135" s="137">
        <v>0.2082291851171445</v>
      </c>
      <c r="J135" s="137">
        <v>0.20553722881028302</v>
      </c>
      <c r="K135" s="137">
        <v>0.20626302340282576</v>
      </c>
      <c r="L135" s="137">
        <v>0.20649394785563735</v>
      </c>
      <c r="M135" s="137">
        <v>0.202701057066919</v>
      </c>
      <c r="N135" s="137">
        <v>0.20444020934705276</v>
      </c>
      <c r="O135" s="137">
        <v>0.20467948927683377</v>
      </c>
      <c r="P135" s="137">
        <v>0.207952798269454</v>
      </c>
      <c r="Q135" s="137">
        <v>0.207952798269454</v>
      </c>
      <c r="R135" s="137">
        <v>0.20799774908750002</v>
      </c>
    </row>
    <row r="136">
      <c r="B136" t="s" s="9">
        <v>668</v>
      </c>
      <c r="C136" s="139">
        <f>'Debt Schedule'!T73</f>
        <v>85.53314653360448</v>
      </c>
      <c r="D136" s="99">
        <v>81.33560373651373</v>
      </c>
      <c r="E136" s="99">
        <v>81.33560373651373</v>
      </c>
      <c r="F136" s="99">
        <v>81.33560373651373</v>
      </c>
      <c r="G136" s="99">
        <v>85.53314653360448</v>
      </c>
      <c r="H136" s="99">
        <v>85.53314653360448</v>
      </c>
      <c r="I136" s="99">
        <v>85.53314653360448</v>
      </c>
      <c r="J136" s="99">
        <v>90.22378112048531</v>
      </c>
      <c r="K136" s="99">
        <v>90.22378112048531</v>
      </c>
      <c r="L136" s="99">
        <v>90.22378112048531</v>
      </c>
      <c r="M136" s="99">
        <v>94.91441570736615</v>
      </c>
      <c r="N136" s="99">
        <v>94.91441570736615</v>
      </c>
      <c r="O136" s="99">
        <v>94.91441570736615</v>
      </c>
      <c r="P136" s="99">
        <v>85.53314653360448</v>
      </c>
      <c r="Q136" s="99">
        <v>85.53314653360448</v>
      </c>
      <c r="R136" s="99">
        <v>85.53314653360448</v>
      </c>
    </row>
    <row r="137">
      <c r="B137" t="s" s="9">
        <v>669</v>
      </c>
      <c r="C137" s="139">
        <f>'Debt Schedule'!U73</f>
        <v>187.11103136257103</v>
      </c>
      <c r="D137" s="99">
        <v>159.20722076395492</v>
      </c>
      <c r="E137" s="99">
        <v>159.20722076396171</v>
      </c>
      <c r="F137" s="99">
        <v>159.68487955658074</v>
      </c>
      <c r="G137" s="99">
        <v>187.11103136257063</v>
      </c>
      <c r="H137" s="99">
        <v>187.111031362571</v>
      </c>
      <c r="I137" s="99">
        <v>187.11103136257086</v>
      </c>
      <c r="J137" s="99">
        <v>214.8090542425873</v>
      </c>
      <c r="K137" s="99">
        <v>214.8090542425873</v>
      </c>
      <c r="L137" s="99">
        <v>214.80905424258728</v>
      </c>
      <c r="M137" s="99">
        <v>242.50707712260353</v>
      </c>
      <c r="N137" s="99">
        <v>242.50707712260353</v>
      </c>
      <c r="O137" s="99">
        <v>242.50707712260353</v>
      </c>
      <c r="P137" s="99">
        <v>187.1340349674514</v>
      </c>
      <c r="Q137" s="99">
        <v>187.13403496745138</v>
      </c>
      <c r="R137" s="99">
        <v>187.1340349674512</v>
      </c>
    </row>
    <row r="138">
      <c r="B138" t="s" s="9">
        <v>670</v>
      </c>
      <c r="C138" s="139">
        <f>'Debt Schedule'!V73</f>
        <v>226.00979641137488</v>
      </c>
      <c r="D138" s="99">
        <v>187.21152928098425</v>
      </c>
      <c r="E138" s="99">
        <v>187.21152928105008</v>
      </c>
      <c r="F138" s="99">
        <v>194.41454405685224</v>
      </c>
      <c r="G138" s="99">
        <v>226.00979641106832</v>
      </c>
      <c r="H138" s="99">
        <v>226.009796411315</v>
      </c>
      <c r="I138" s="99">
        <v>226.0097964112207</v>
      </c>
      <c r="J138" s="99">
        <v>254.2246054104799</v>
      </c>
      <c r="K138" s="99">
        <v>254.22460541047937</v>
      </c>
      <c r="L138" s="99">
        <v>254.22460541047712</v>
      </c>
      <c r="M138" s="99">
        <v>282.43941440958474</v>
      </c>
      <c r="N138" s="99">
        <v>282.43941440958554</v>
      </c>
      <c r="O138" s="99">
        <v>282.4394144095836</v>
      </c>
      <c r="P138" s="99">
        <v>227.85887352765258</v>
      </c>
      <c r="Q138" s="99">
        <v>227.85887352765215</v>
      </c>
      <c r="R138" s="99">
        <v>227.8588735274914</v>
      </c>
    </row>
    <row r="139">
      <c r="B139" t="s" s="9">
        <v>671</v>
      </c>
      <c r="C139" s="139">
        <f>'Debt Schedule'!W73</f>
        <v>247.84039772178267</v>
      </c>
      <c r="D139" s="99">
        <v>213.92881985151308</v>
      </c>
      <c r="E139" s="99">
        <v>213.9288198517496</v>
      </c>
      <c r="F139" s="99">
        <v>217.39470701362563</v>
      </c>
      <c r="G139" s="99">
        <v>247.8403977244555</v>
      </c>
      <c r="H139" s="99">
        <v>247.84039772168305</v>
      </c>
      <c r="I139" s="99">
        <v>247.84374332909135</v>
      </c>
      <c r="J139" s="99">
        <v>276.4035284174893</v>
      </c>
      <c r="K139" s="99">
        <v>276.4035284172581</v>
      </c>
      <c r="L139" s="99">
        <v>276.4035284175105</v>
      </c>
      <c r="M139" s="99">
        <v>304.7888982495991</v>
      </c>
      <c r="N139" s="99">
        <v>304.78889824971276</v>
      </c>
      <c r="O139" s="99">
        <v>304.7888982493931</v>
      </c>
      <c r="P139" s="99">
        <v>253.02649635198335</v>
      </c>
      <c r="Q139" s="99">
        <v>253.02649635198455</v>
      </c>
      <c r="R139" s="99">
        <v>253.0264963437939</v>
      </c>
    </row>
    <row r="140">
      <c r="B140" t="s" s="9">
        <v>672</v>
      </c>
      <c r="C140" s="139">
        <f>'Debt Schedule'!X73</f>
        <v>243.90886665140457</v>
      </c>
      <c r="D140" s="99">
        <v>209.34656410831855</v>
      </c>
      <c r="E140" s="99">
        <v>209.34656410416207</v>
      </c>
      <c r="F140" s="99">
        <v>213.3544663430268</v>
      </c>
      <c r="G140" s="99">
        <v>243.9088666758908</v>
      </c>
      <c r="H140" s="99">
        <v>243.9088666577684</v>
      </c>
      <c r="I140" s="99">
        <v>243.9158046801362</v>
      </c>
      <c r="J140" s="99">
        <v>274.4070839195738</v>
      </c>
      <c r="K140" s="99">
        <v>274.4070839115558</v>
      </c>
      <c r="L140" s="99">
        <v>274.4070839195737</v>
      </c>
      <c r="M140" s="99">
        <v>302.792453751768</v>
      </c>
      <c r="N140" s="99">
        <v>302.792453751768</v>
      </c>
      <c r="O140" s="99">
        <v>302.7924537485603</v>
      </c>
      <c r="P140" s="99">
        <v>251.7001457428001</v>
      </c>
      <c r="Q140" s="99">
        <v>251.70014575293155</v>
      </c>
      <c r="R140" s="99">
        <v>251.60114091705083</v>
      </c>
    </row>
    <row r="141">
      <c r="B141" t="s" s="9">
        <v>673</v>
      </c>
      <c r="C141" s="139">
        <f>'Debt Schedule'!Y73</f>
        <v>238.73921360628398</v>
      </c>
      <c r="D141" s="99">
        <v>202.2247323810649</v>
      </c>
      <c r="E141" s="99">
        <v>202.22473237754357</v>
      </c>
      <c r="F141" s="99">
        <v>206.5570699523083</v>
      </c>
      <c r="G141" s="99">
        <v>238.739213574012</v>
      </c>
      <c r="H141" s="99">
        <v>238.7392136274924</v>
      </c>
      <c r="I141" s="99">
        <v>238.7467716239782</v>
      </c>
      <c r="J141" s="99">
        <v>274.1409949856549</v>
      </c>
      <c r="K141" s="99">
        <v>274.14099498565514</v>
      </c>
      <c r="L141" s="99">
        <v>274.14099498565474</v>
      </c>
      <c r="M141" s="99">
        <v>302.5263648178493</v>
      </c>
      <c r="N141" s="99">
        <v>302.52636451643957</v>
      </c>
      <c r="O141" s="99">
        <v>302.5263648178493</v>
      </c>
      <c r="P141" s="99">
        <v>247.51571154891244</v>
      </c>
      <c r="Q141" s="99">
        <v>247.51571147996987</v>
      </c>
      <c r="R141" s="99">
        <v>247.30846447104676</v>
      </c>
    </row>
    <row r="142">
      <c r="B142" t="s" s="9">
        <v>674</v>
      </c>
      <c r="C142" s="140">
        <f>'Credit Stats'!D118</f>
        <v>1.8597103451457002</v>
      </c>
      <c r="D142" s="100">
        <v>1.9558069930890059</v>
      </c>
      <c r="E142" s="100">
        <v>1.9558069930890052</v>
      </c>
      <c r="F142" s="100">
        <v>1.9017149084327567</v>
      </c>
      <c r="G142" s="100">
        <v>1.8597103451457002</v>
      </c>
      <c r="H142" s="100">
        <v>1.8597103451457002</v>
      </c>
      <c r="I142" s="100">
        <v>1.8365770151123597</v>
      </c>
      <c r="J142" s="100">
        <v>1.7627667954320347</v>
      </c>
      <c r="K142" s="100">
        <v>1.7769062402533577</v>
      </c>
      <c r="L142" s="100">
        <v>1.788316306071919</v>
      </c>
      <c r="M142" s="100">
        <v>1.6752869614651191</v>
      </c>
      <c r="N142" s="100">
        <v>1.7316089472973373</v>
      </c>
      <c r="O142" s="100">
        <v>1.7424525386120755</v>
      </c>
      <c r="P142" s="100">
        <v>1.8597103451457002</v>
      </c>
      <c r="Q142" s="100">
        <v>1.8597103451457002</v>
      </c>
      <c r="R142" s="100">
        <v>1.8365770151123597</v>
      </c>
    </row>
    <row r="143">
      <c r="B143" t="s" s="9">
        <v>675</v>
      </c>
      <c r="C143" s="140">
        <f>'Credit Stats'!E118</f>
        <v>1.8707735263331127</v>
      </c>
      <c r="D143" s="100">
        <v>2.1904408903876975</v>
      </c>
      <c r="E143" s="100">
        <v>2.190440890387604</v>
      </c>
      <c r="F143" s="100">
        <v>2.019281881505779</v>
      </c>
      <c r="G143" s="100">
        <v>1.870773526333116</v>
      </c>
      <c r="H143" s="100">
        <v>1.8707735263331133</v>
      </c>
      <c r="I143" s="100">
        <v>1.8693626541648378</v>
      </c>
      <c r="J143" s="100">
        <v>1.622229411018565</v>
      </c>
      <c r="K143" s="100">
        <v>1.706049926023067</v>
      </c>
      <c r="L143" s="100">
        <v>1.7349651355617206</v>
      </c>
      <c r="M143" s="100">
        <v>1.4296928811627467</v>
      </c>
      <c r="N143" s="100">
        <v>1.591836307741726</v>
      </c>
      <c r="O143" s="100">
        <v>1.6171608018273609</v>
      </c>
      <c r="P143" s="100">
        <v>1.8705404518563644</v>
      </c>
      <c r="Q143" s="100">
        <v>1.8705404518563649</v>
      </c>
      <c r="R143" s="100">
        <v>1.869244791310018</v>
      </c>
    </row>
    <row r="144">
      <c r="B144" t="s" s="9">
        <v>676</v>
      </c>
      <c r="C144" s="140">
        <f>'Credit Stats'!F118</f>
        <v>1.729027791609942</v>
      </c>
      <c r="D144" s="100">
        <v>2.0823226376970583</v>
      </c>
      <c r="E144" s="100">
        <v>2.0823226376963495</v>
      </c>
      <c r="F144" s="100">
        <v>1.8779411272800393</v>
      </c>
      <c r="G144" s="100">
        <v>1.7290277916117678</v>
      </c>
      <c r="H144" s="100">
        <v>1.7290277916103982</v>
      </c>
      <c r="I144" s="100">
        <v>1.7377931687413368</v>
      </c>
      <c r="J144" s="100">
        <v>1.5143472883420017</v>
      </c>
      <c r="K144" s="100">
        <v>1.5947708995053949</v>
      </c>
      <c r="L144" s="100">
        <v>1.619742490145023</v>
      </c>
      <c r="M144" s="100">
        <v>1.342178497449005</v>
      </c>
      <c r="N144" s="100">
        <v>1.4914304551710946</v>
      </c>
      <c r="O144" s="100">
        <v>1.513628233591123</v>
      </c>
      <c r="P144" s="100">
        <v>1.71477738271402</v>
      </c>
      <c r="Q144" s="100">
        <v>1.7147773827140254</v>
      </c>
      <c r="R144" s="100">
        <v>1.7303671396946334</v>
      </c>
    </row>
    <row r="145">
      <c r="B145" t="s" s="9">
        <v>677</v>
      </c>
      <c r="C145" s="140">
        <f>'Credit Stats'!G118</f>
        <v>1.7878488224141036</v>
      </c>
      <c r="D145" s="100">
        <v>2.0722229831084733</v>
      </c>
      <c r="E145" s="100">
        <v>2.0722229831061907</v>
      </c>
      <c r="F145" s="100">
        <v>1.9806734555275545</v>
      </c>
      <c r="G145" s="100">
        <v>1.7878488223921538</v>
      </c>
      <c r="H145" s="100">
        <v>1.7878488224143925</v>
      </c>
      <c r="I145" s="100">
        <v>1.7877968575684486</v>
      </c>
      <c r="J145" s="100">
        <v>1.558444486257941</v>
      </c>
      <c r="K145" s="100">
        <v>1.6037625500644186</v>
      </c>
      <c r="L145" s="100">
        <v>1.6181572209123698</v>
      </c>
      <c r="M145" s="100">
        <v>1.3748295006943314</v>
      </c>
      <c r="N145" s="100">
        <v>1.4590127790071123</v>
      </c>
      <c r="O145" s="100">
        <v>1.471380007563563</v>
      </c>
      <c r="P145" s="100">
        <v>1.7498224705451046</v>
      </c>
      <c r="Q145" s="100">
        <v>1.7498224705441896</v>
      </c>
      <c r="R145" s="100">
        <v>1.757777305429878</v>
      </c>
    </row>
    <row r="146">
      <c r="B146" t="s" s="9">
        <v>678</v>
      </c>
      <c r="C146" s="140">
        <f>'Credit Stats'!H118</f>
        <v>1.9737863192041782</v>
      </c>
      <c r="D146" s="100">
        <v>2.2983909238600986</v>
      </c>
      <c r="E146" s="100">
        <v>2.2983909239055555</v>
      </c>
      <c r="F146" s="100">
        <v>2.255379033290487</v>
      </c>
      <c r="G146" s="100">
        <v>1.973786319006686</v>
      </c>
      <c r="H146" s="100">
        <v>1.973786319152851</v>
      </c>
      <c r="I146" s="100">
        <v>1.9737303625128972</v>
      </c>
      <c r="J146" s="100">
        <v>1.6988717061462237</v>
      </c>
      <c r="K146" s="100">
        <v>1.7186666248442057</v>
      </c>
      <c r="L146" s="100">
        <v>1.7250159845666535</v>
      </c>
      <c r="M146" s="100">
        <v>1.4783091110170583</v>
      </c>
      <c r="N146" s="100">
        <v>1.51790080977689</v>
      </c>
      <c r="O146" s="100">
        <v>1.5235067810271132</v>
      </c>
      <c r="P146" s="100">
        <v>1.9118627612390482</v>
      </c>
      <c r="Q146" s="100">
        <v>1.9118627611243724</v>
      </c>
      <c r="R146" s="100">
        <v>1.9132798570144987</v>
      </c>
    </row>
    <row r="147">
      <c r="B147" t="s" s="9">
        <v>679</v>
      </c>
      <c r="C147" s="140">
        <f>'Credit Stats'!I118</f>
        <v>2.175976665185363</v>
      </c>
      <c r="D147" s="100">
        <v>2.567307152483887</v>
      </c>
      <c r="E147" s="100">
        <v>2.567307152528412</v>
      </c>
      <c r="F147" s="100">
        <v>2.5136713117181184</v>
      </c>
      <c r="G147" s="100">
        <v>2.1759766654785064</v>
      </c>
      <c r="H147" s="100">
        <v>2.1759766649927155</v>
      </c>
      <c r="I147" s="100">
        <v>2.1759080138239435</v>
      </c>
      <c r="J147" s="100">
        <v>1.8449645348235293</v>
      </c>
      <c r="K147" s="100">
        <v>1.8687401450252754</v>
      </c>
      <c r="L147" s="100">
        <v>1.8763786426371785</v>
      </c>
      <c r="M147" s="100">
        <v>1.582719133121372</v>
      </c>
      <c r="N147" s="100">
        <v>1.6294749226134588</v>
      </c>
      <c r="O147" s="100">
        <v>1.6361156090154136</v>
      </c>
      <c r="P147" s="100">
        <v>2.0990725768174356</v>
      </c>
      <c r="Q147" s="100">
        <v>2.099072577400195</v>
      </c>
      <c r="R147" s="100">
        <v>2.100825861384505</v>
      </c>
    </row>
    <row r="148">
      <c r="B148" t="s" s="9">
        <v>680</v>
      </c>
      <c r="C148" s="140">
        <f>MIN('Credit Stats'!$D$118:$I$118)</f>
        <v>1.729027791609942</v>
      </c>
      <c r="D148" s="100">
        <v>1.9558069930890059</v>
      </c>
      <c r="E148" s="100">
        <v>1.9558069930890052</v>
      </c>
      <c r="F148" s="100">
        <v>1.8779411272800393</v>
      </c>
      <c r="G148" s="100">
        <v>1.7290277916117678</v>
      </c>
      <c r="H148" s="100">
        <v>1.7290277916103982</v>
      </c>
      <c r="I148" s="100">
        <v>1.7377931687413368</v>
      </c>
      <c r="J148" s="100">
        <v>1.5143472883420017</v>
      </c>
      <c r="K148" s="100">
        <v>1.5947708995053949</v>
      </c>
      <c r="L148" s="100">
        <v>1.6181572209123698</v>
      </c>
      <c r="M148" s="100">
        <v>1.342178497449005</v>
      </c>
      <c r="N148" s="100">
        <v>1.4590127790071123</v>
      </c>
      <c r="O148" s="100">
        <v>1.471380007563563</v>
      </c>
      <c r="P148" s="100">
        <v>1.71477738271402</v>
      </c>
      <c r="Q148" s="100">
        <v>1.7147773827140254</v>
      </c>
      <c r="R148" s="100">
        <v>1.7303671396946334</v>
      </c>
    </row>
    <row r="149">
      <c r="B149" t="s" s="9">
        <v>681</v>
      </c>
      <c r="C149" s="141">
        <f>YEAR(INDEX('Debt Schedule'!$T$6:$Y$6,MATCH(MIN('Credit Stats'!$D$118:$I$118),'Credit Stats'!$D$118:$I$118,0)))</f>
        <v>2028</v>
      </c>
      <c r="D149" s="102">
        <v>2026</v>
      </c>
      <c r="E149" s="102">
        <v>2026</v>
      </c>
      <c r="F149" s="102">
        <v>2028</v>
      </c>
      <c r="G149" s="102">
        <v>2028</v>
      </c>
      <c r="H149" s="102">
        <v>2028</v>
      </c>
      <c r="I149" s="102">
        <v>2028</v>
      </c>
      <c r="J149" s="102">
        <v>2028</v>
      </c>
      <c r="K149" s="102">
        <v>2028</v>
      </c>
      <c r="L149" s="102">
        <v>2029</v>
      </c>
      <c r="M149" s="102">
        <v>2028</v>
      </c>
      <c r="N149" s="102">
        <v>2029</v>
      </c>
      <c r="O149" s="102">
        <v>2029</v>
      </c>
      <c r="P149" s="102">
        <v>2028</v>
      </c>
      <c r="Q149" s="102">
        <v>2028</v>
      </c>
      <c r="R149" s="102">
        <v>2028</v>
      </c>
    </row>
    <row r="150">
      <c r="B150" t="s" s="9">
        <v>682</v>
      </c>
      <c r="C150" s="139">
        <f>MAX('Debt Schedule'!$S$60:$Y$60)</f>
        <v>6.977845296153275</v>
      </c>
      <c r="D150" s="99">
        <v>2.809493263307547</v>
      </c>
      <c r="E150" s="99">
        <v>2.8094932633093572</v>
      </c>
      <c r="F150" s="99">
        <v>5.167769538789637</v>
      </c>
      <c r="G150" s="99">
        <v>6.977845296153275</v>
      </c>
      <c r="H150" s="99">
        <v>6.977845296153275</v>
      </c>
      <c r="I150" s="99">
        <v>8.076132871918615</v>
      </c>
      <c r="J150" s="99">
        <v>97.54708263434584</v>
      </c>
      <c r="K150" s="99">
        <v>64.4106791289799</v>
      </c>
      <c r="L150" s="99">
        <v>53.943032734602646</v>
      </c>
      <c r="M150" s="99">
        <v>257.65161689913225</v>
      </c>
      <c r="N150" s="99">
        <v>162.12834556206036</v>
      </c>
      <c r="O150" s="99">
        <v>149.00402841130563</v>
      </c>
      <c r="P150" s="99">
        <v>7.683663902683248</v>
      </c>
      <c r="Q150" s="99">
        <v>7.683663902674247</v>
      </c>
      <c r="R150" s="99">
        <v>8.076132871918615</v>
      </c>
    </row>
    <row r="151">
      <c r="B151" t="s" s="9">
        <v>683</v>
      </c>
      <c r="C151" s="139">
        <f>'Debt Schedule'!$X$118</f>
        <v>2718.8508749997773</v>
      </c>
      <c r="D151" s="99">
        <v>2578.572818945013</v>
      </c>
      <c r="E151" s="99">
        <v>2578.5728188854746</v>
      </c>
      <c r="F151" s="99">
        <v>2632.0922229451035</v>
      </c>
      <c r="G151" s="99">
        <v>2718.8508752608805</v>
      </c>
      <c r="H151" s="99">
        <v>2718.850875085445</v>
      </c>
      <c r="I151" s="99">
        <v>2718.934393236735</v>
      </c>
      <c r="J151" s="99">
        <v>2859.3181311974063</v>
      </c>
      <c r="K151" s="99">
        <v>2822.9070125540497</v>
      </c>
      <c r="L151" s="99">
        <v>2811.404898212727</v>
      </c>
      <c r="M151" s="99">
        <v>3005.606673123862</v>
      </c>
      <c r="N151" s="99">
        <v>2919.533522132668</v>
      </c>
      <c r="O151" s="99">
        <v>2907.7075924106293</v>
      </c>
      <c r="P151" s="99">
        <v>2733.778081989649</v>
      </c>
      <c r="Q151" s="99">
        <v>2733.7780822157206</v>
      </c>
      <c r="R151" s="99">
        <v>2731.5567426151893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41"/>
  <sheetViews>
    <sheetView showGridLines="0" workbookViewId="0">
      <selection activeCell="A1" sqref="A1"/>
    </sheetView>
  </sheetViews>
  <cols>
    <col min="1" max="1" width="2.21875" customWidth="1"/>
    <col min="2" max="2" width="62.7890625" customWidth="1"/>
    <col min="3" max="3" width="2.21875" customWidth="1"/>
    <col min="4" max="9" width="12.50390625" customWidth="1"/>
    <col min="10" max="10" width="2.21875" customWidth="1"/>
    <col min="11" max="12" width="13.21875" customWidth="1"/>
    <col min="13" max="13" width="3.7890625" customWidth="1"/>
    <col min="14" max="14" width="32.359375" customWidth="1"/>
    <col min="15" max="21" width="9.7890625" customWidth="1"/>
  </cols>
  <sheetData>
    <row r="2">
      <c r="B2" t="s" s="2">
        <v>688</v>
      </c>
    </row>
    <row r="3">
      <c r="B3" t="s" s="3">
        <v>689</v>
      </c>
    </row>
    <row r="4">
      <c r="N4" t="s" s="34">
        <v>752</v>
      </c>
      <c r="O4" s="34"/>
      <c r="P4" s="34"/>
      <c r="Q4" s="34"/>
      <c r="R4" s="34"/>
      <c r="S4" s="34"/>
      <c r="T4" s="34"/>
      <c r="U4" s="34"/>
    </row>
    <row r="5">
      <c r="B5" t="s" s="111">
        <v>215</v>
      </c>
      <c r="C5" s="109"/>
      <c r="D5" s="110">
        <f>'Forward Curve'!D$15</f>
        <v>46387</v>
      </c>
      <c r="E5" s="110">
        <f>'Forward Curve'!E$15</f>
        <v>46752</v>
      </c>
      <c r="F5" s="110">
        <f>'Forward Curve'!F$15</f>
        <v>47118</v>
      </c>
      <c r="G5" s="110">
        <f>'Forward Curve'!G$15</f>
        <v>47483</v>
      </c>
      <c r="H5" s="110">
        <f>'Forward Curve'!H$15</f>
        <v>47848</v>
      </c>
      <c r="I5" s="110">
        <f>'Forward Curve'!I$15</f>
        <v>48213</v>
      </c>
      <c r="J5" s="109"/>
      <c r="K5" t="s" s="109">
        <v>708</v>
      </c>
      <c r="L5" t="s" s="109">
        <v>709</v>
      </c>
      <c r="N5" s="109"/>
      <c r="O5" s="110">
        <f>D5</f>
        <v>46387</v>
      </c>
      <c r="P5" s="110">
        <f>E5</f>
        <v>46752</v>
      </c>
      <c r="Q5" s="110">
        <f>F5</f>
        <v>47118</v>
      </c>
      <c r="R5" s="110">
        <f>G5</f>
        <v>47483</v>
      </c>
      <c r="S5" s="110">
        <f>H5</f>
        <v>47848</v>
      </c>
      <c r="T5" s="110">
        <f>I5</f>
        <v>48213</v>
      </c>
      <c r="U5" t="s" s="109">
        <v>763</v>
      </c>
    </row>
    <row r="6">
      <c r="B6" t="s" s="34">
        <v>590</v>
      </c>
      <c r="C6" s="34"/>
      <c r="D6" s="34"/>
      <c r="E6" s="34"/>
      <c r="F6" s="34"/>
      <c r="G6" s="34"/>
      <c r="H6" s="34"/>
      <c r="I6" s="34"/>
      <c r="J6" s="34"/>
      <c r="K6" s="34"/>
      <c r="L6" s="34"/>
      <c r="N6" t="s">
        <v>753</v>
      </c>
      <c r="O6" s="167">
        <f>D8</f>
        <v>0.038282924605291</v>
      </c>
      <c r="P6" s="167">
        <f>E8</f>
        <v>0.04505393053616438</v>
      </c>
      <c r="Q6" s="167">
        <f>F8</f>
        <v>0.04598439985027322</v>
      </c>
      <c r="R6" s="167">
        <f>G8</f>
        <v>0.044875348657260276</v>
      </c>
      <c r="S6" s="167">
        <f>H8</f>
        <v>0.044172012921369866</v>
      </c>
      <c r="T6" s="167">
        <f>I8</f>
        <v>0.04407827134410959</v>
      </c>
      <c r="U6" s="73"/>
    </row>
    <row r="7">
      <c r="B7" t="s" s="9">
        <v>550</v>
      </c>
      <c r="D7" s="98">
        <f>'Rate Cases'!$D$83</f>
        <v>0.0353</v>
      </c>
      <c r="E7" s="98">
        <f>'Rate Cases'!$D$84</f>
        <v>0.0353</v>
      </c>
      <c r="F7" s="98">
        <f>'Rate Cases'!$D$85</f>
        <v>0.0353</v>
      </c>
      <c r="G7" s="98">
        <f>'Rate Cases'!$D$86</f>
        <v>0.0353</v>
      </c>
      <c r="H7" s="98">
        <f>'Rate Cases'!$D$87</f>
        <v>0.0353</v>
      </c>
      <c r="I7" s="98">
        <f>'Rate Cases'!$D$88</f>
        <v>0.0353</v>
      </c>
      <c r="N7" t="s">
        <v>754</v>
      </c>
      <c r="O7" s="168">
        <f>D9</f>
        <v>29.829246052910026</v>
      </c>
      <c r="P7" s="168">
        <f>E9</f>
        <v>97.53930536164384</v>
      </c>
      <c r="Q7" s="168">
        <f>F9</f>
        <v>106.84399850273223</v>
      </c>
      <c r="R7" s="168">
        <f>G9</f>
        <v>95.75348657260278</v>
      </c>
      <c r="S7" s="168">
        <f>H9</f>
        <v>88.72012921369868</v>
      </c>
      <c r="T7" s="168">
        <f>I9</f>
        <v>87.78271344109592</v>
      </c>
      <c r="U7" s="73"/>
    </row>
    <row r="8">
      <c r="B8" t="s" s="9">
        <v>690</v>
      </c>
      <c r="D8" s="98">
        <f>'Rate Cases'!$G$83</f>
        <v>0.038282924605291</v>
      </c>
      <c r="E8" s="98">
        <f>'Rate Cases'!$G$84</f>
        <v>0.04505393053616438</v>
      </c>
      <c r="F8" s="98">
        <f>'Rate Cases'!$G$85</f>
        <v>0.04598439985027322</v>
      </c>
      <c r="G8" s="98">
        <f>'Rate Cases'!$G$86</f>
        <v>0.044875348657260276</v>
      </c>
      <c r="H8" s="98">
        <f>'Rate Cases'!$G$87</f>
        <v>0.044172012921369866</v>
      </c>
      <c r="I8" s="98">
        <f>'Rate Cases'!$G$88</f>
        <v>0.04407827134410959</v>
      </c>
      <c r="N8" t="s">
        <v>755</v>
      </c>
      <c r="O8" s="169">
        <f>D11</f>
        <v>81.33560373651373</v>
      </c>
      <c r="P8" s="169">
        <f>E11</f>
        <v>157.91977173296542</v>
      </c>
      <c r="Q8" s="169">
        <f>F11</f>
        <v>182.44758073394033</v>
      </c>
      <c r="R8" s="169">
        <f>G11</f>
        <v>203.56774977381028</v>
      </c>
      <c r="S8" s="169">
        <f>H11</f>
        <v>192.28525921752387</v>
      </c>
      <c r="T8" s="169">
        <f>I11</f>
        <v>176.26755501658963</v>
      </c>
      <c r="U8" s="169">
        <f>K11</f>
        <v>817.5559651947536</v>
      </c>
    </row>
    <row r="9">
      <c r="B9" t="s" s="9">
        <v>551</v>
      </c>
      <c r="D9" s="144">
        <f>(D8-D7)*10000</f>
        <v>29.829246052910026</v>
      </c>
      <c r="E9" s="144">
        <f>(E8-E7)*10000</f>
        <v>97.53930536164384</v>
      </c>
      <c r="F9" s="144">
        <f>(F8-F7)*10000</f>
        <v>106.84399850273223</v>
      </c>
      <c r="G9" s="144">
        <f>(G8-G7)*10000</f>
        <v>95.75348657260278</v>
      </c>
      <c r="H9" s="144">
        <f>(H8-H7)*10000</f>
        <v>88.72012921369868</v>
      </c>
      <c r="I9" s="144">
        <f>(I8-I7)*10000</f>
        <v>87.78271344109592</v>
      </c>
      <c r="N9" t="s">
        <v>756</v>
      </c>
      <c r="O9" s="169">
        <f>D12</f>
        <v>85.53314653360448</v>
      </c>
      <c r="P9" s="169">
        <f>E12</f>
        <v>185.63486698955387</v>
      </c>
      <c r="Q9" s="169">
        <f>F12</f>
        <v>215.04909057764908</v>
      </c>
      <c r="R9" s="169">
        <f>G12</f>
        <v>235.5720456435771</v>
      </c>
      <c r="S9" s="169">
        <f>H12</f>
        <v>223.79936090868486</v>
      </c>
      <c r="T9" s="169">
        <f>I12</f>
        <v>208.43157088217347</v>
      </c>
      <c r="U9" s="169">
        <f>K12</f>
        <v>945.5885106530694</v>
      </c>
    </row>
    <row r="10">
      <c r="B10" t="s" s="143">
        <v>280</v>
      </c>
      <c r="C10" s="34"/>
      <c r="D10" s="34"/>
      <c r="E10" s="34"/>
      <c r="F10" s="34"/>
      <c r="G10" s="34"/>
      <c r="H10" s="34"/>
      <c r="I10" s="34"/>
      <c r="J10" s="34"/>
      <c r="K10" s="34"/>
      <c r="L10" s="34"/>
      <c r="N10" t="s" s="152">
        <v>757</v>
      </c>
      <c r="O10" s="170">
        <f>D21</f>
        <v>4.197542797090733</v>
      </c>
      <c r="P10" s="170">
        <f>E21</f>
        <v>28.109461843262466</v>
      </c>
      <c r="Q10" s="170">
        <f>F21</f>
        <v>33.14964535864459</v>
      </c>
      <c r="R10" s="170">
        <f>G21</f>
        <v>32.00429586976682</v>
      </c>
      <c r="S10" s="170">
        <f>H21</f>
        <v>31.514101691160988</v>
      </c>
      <c r="T10" s="170">
        <f>I21</f>
        <v>32.16401586558385</v>
      </c>
      <c r="U10" s="170">
        <f>K21</f>
        <v>128.9750475599256</v>
      </c>
    </row>
    <row r="11">
      <c r="B11" t="s" s="9">
        <v>601</v>
      </c>
      <c r="D11" s="99">
        <f>'Rate Cases'!$D$89</f>
        <v>81.33560373651373</v>
      </c>
      <c r="E11" s="99">
        <f>'Rate Cases'!$D$90</f>
        <v>157.91977173296542</v>
      </c>
      <c r="F11" s="99">
        <f>'Rate Cases'!$D$91</f>
        <v>182.44758073394033</v>
      </c>
      <c r="G11" s="99">
        <f>'Rate Cases'!$D$92</f>
        <v>203.56774977381028</v>
      </c>
      <c r="H11" s="99">
        <f>'Rate Cases'!$D$93</f>
        <v>192.28525921752387</v>
      </c>
      <c r="I11" s="99">
        <f>'Rate Cases'!$D$94</f>
        <v>176.26755501658963</v>
      </c>
      <c r="J11" s="99"/>
      <c r="K11" s="99">
        <f>SUM(D11:H11)</f>
        <v>817.5559651947536</v>
      </c>
      <c r="L11" s="99">
        <f>SUM(D11:I11)</f>
        <v>993.8235202113433</v>
      </c>
      <c r="N11" t="s" s="1">
        <v>758</v>
      </c>
      <c r="O11" s="171">
        <f>D22</f>
        <v>4.197542797090733</v>
      </c>
      <c r="P11" s="171">
        <f>E22</f>
        <v>32.3070046403532</v>
      </c>
      <c r="Q11" s="171">
        <f>F22</f>
        <v>65.45664999899779</v>
      </c>
      <c r="R11" s="171">
        <f>G22</f>
        <v>97.46094586876461</v>
      </c>
      <c r="S11" s="171">
        <f>H22</f>
        <v>128.9750475599256</v>
      </c>
      <c r="T11" s="171">
        <f>I22</f>
        <v>161.13906342550945</v>
      </c>
      <c r="U11" s="171">
        <f>K22</f>
        <v>128.9750475599256</v>
      </c>
    </row>
    <row r="12">
      <c r="B12" t="s" s="9">
        <v>592</v>
      </c>
      <c r="D12" s="99">
        <f>'Rate Cases'!$G$89</f>
        <v>85.53314653360448</v>
      </c>
      <c r="E12" s="99">
        <f>'Rate Cases'!$G$90</f>
        <v>185.63486698955387</v>
      </c>
      <c r="F12" s="99">
        <f>'Rate Cases'!$G$91</f>
        <v>215.04909057764908</v>
      </c>
      <c r="G12" s="99">
        <f>'Rate Cases'!$G$92</f>
        <v>235.5720456435771</v>
      </c>
      <c r="H12" s="99">
        <f>'Rate Cases'!$G$93</f>
        <v>223.79936090868486</v>
      </c>
      <c r="I12" s="99">
        <f>'Rate Cases'!$G$94</f>
        <v>208.43157088217347</v>
      </c>
      <c r="J12" s="99"/>
      <c r="K12" s="99">
        <f>SUM(D12:H12)</f>
        <v>945.5885106530694</v>
      </c>
      <c r="L12" s="99">
        <f>SUM(D12:I12)</f>
        <v>1154.020081535243</v>
      </c>
      <c r="N12" t="s">
        <v>759</v>
      </c>
      <c r="O12" s="172">
        <f>D24</f>
        <v>2.0918408088826363</v>
      </c>
      <c r="P12" s="172">
        <f>E24</f>
        <v>2.4211846473394085</v>
      </c>
      <c r="Q12" s="172">
        <f>F24</f>
        <v>2.4073823216300223</v>
      </c>
      <c r="R12" s="172">
        <f>G24</f>
        <v>2.515787313432431</v>
      </c>
      <c r="S12" s="172">
        <f>H24</f>
        <v>2.969965134551802</v>
      </c>
      <c r="T12" s="172">
        <f>I24</f>
        <v>3.591756020414572</v>
      </c>
      <c r="U12" s="73"/>
    </row>
    <row r="13">
      <c r="B13" t="s" s="151">
        <v>691</v>
      </c>
      <c r="C13" s="152"/>
      <c r="D13" s="153">
        <f>D12-D11</f>
        <v>4.1975427970907475</v>
      </c>
      <c r="E13" s="153">
        <f>E12-E11</f>
        <v>27.715095256588455</v>
      </c>
      <c r="F13" s="153">
        <f>F12-F11</f>
        <v>32.601509843708754</v>
      </c>
      <c r="G13" s="153">
        <f>G12-G11</f>
        <v>32.00429586976682</v>
      </c>
      <c r="H13" s="153">
        <f>H12-H11</f>
        <v>31.514101691160988</v>
      </c>
      <c r="I13" s="153">
        <f>I12-I11</f>
        <v>32.16401586558385</v>
      </c>
      <c r="J13" s="153"/>
      <c r="K13" s="153">
        <f>SUM(D13:H13)</f>
        <v>128.03254545831578</v>
      </c>
      <c r="L13" s="153">
        <f>SUM(D13:I13)</f>
        <v>160.19656132389963</v>
      </c>
      <c r="N13" t="s">
        <v>760</v>
      </c>
      <c r="O13" s="172">
        <f>D25</f>
        <v>1.9909755325578997</v>
      </c>
      <c r="P13" s="172">
        <f>E25</f>
        <v>2.069958151053734</v>
      </c>
      <c r="Q13" s="172">
        <f>F25</f>
        <v>2.0518952650794984</v>
      </c>
      <c r="R13" s="172">
        <f>G25</f>
        <v>2.1751728231522582</v>
      </c>
      <c r="S13" s="172">
        <f>H25</f>
        <v>2.5532650418193032</v>
      </c>
      <c r="T13" s="172">
        <f>I25</f>
        <v>3.0396481535638378</v>
      </c>
      <c r="U13" s="73"/>
    </row>
    <row r="14">
      <c r="B14" t="s" s="143">
        <v>692</v>
      </c>
      <c r="C14" s="34"/>
      <c r="D14" s="145"/>
      <c r="E14" s="145"/>
      <c r="F14" s="145"/>
      <c r="G14" s="145"/>
      <c r="H14" s="145"/>
      <c r="I14" s="145"/>
      <c r="J14" s="145"/>
      <c r="K14" s="145"/>
      <c r="L14" s="145"/>
      <c r="N14" t="s">
        <v>761</v>
      </c>
      <c r="O14" s="172">
        <f>D28</f>
        <v>7.9243497383162325</v>
      </c>
      <c r="P14" s="172">
        <f>E28</f>
        <v>6.711359698993447</v>
      </c>
      <c r="Q14" s="172">
        <f>F28</f>
        <v>5.738887808626062</v>
      </c>
      <c r="R14" s="172">
        <f>G28</f>
        <v>4.829642596965419</v>
      </c>
      <c r="S14" s="172">
        <f>H28</f>
        <v>4.027548766544511</v>
      </c>
      <c r="T14" s="172">
        <f>I28</f>
        <v>3.2569713462921066</v>
      </c>
      <c r="U14" s="73"/>
    </row>
    <row r="15">
      <c r="B15" t="s" s="9">
        <v>601</v>
      </c>
      <c r="D15" s="99">
        <f>'Rate Cases'!$D$107</f>
        <v>35.17975940160628</v>
      </c>
      <c r="E15" s="99">
        <f>'Rate Cases'!$D$108</f>
        <v>68.30439953847986</v>
      </c>
      <c r="F15" s="99">
        <f>'Rate Cases'!$D$109</f>
        <v>31.034149991009045</v>
      </c>
      <c r="G15" s="99">
        <f>'Rate Cases'!$D$110</f>
        <v>0</v>
      </c>
      <c r="H15" s="99">
        <f>'Rate Cases'!$D$111</f>
        <v>0</v>
      </c>
      <c r="I15" s="99">
        <f>'Rate Cases'!$D$112</f>
        <v>0</v>
      </c>
      <c r="J15" s="99"/>
      <c r="K15" s="99">
        <f>SUM(D15:H15)</f>
        <v>134.5183089310952</v>
      </c>
      <c r="L15" s="99">
        <f>SUM(D15:I15)</f>
        <v>134.5183089310952</v>
      </c>
      <c r="N15" t="s">
        <v>762</v>
      </c>
      <c r="O15" s="172">
        <f>D29</f>
        <v>7.936648178943915</v>
      </c>
      <c r="P15" s="172">
        <f>E29</f>
        <v>6.791135563205034</v>
      </c>
      <c r="Q15" s="172">
        <f>F29</f>
        <v>5.879937018089394</v>
      </c>
      <c r="R15" s="172">
        <f>G29</f>
        <v>5.01476122866013</v>
      </c>
      <c r="S15" s="172">
        <f>H29</f>
        <v>4.24731143697942</v>
      </c>
      <c r="T15" s="172">
        <f>I29</f>
        <v>3.504661771324808</v>
      </c>
      <c r="U15" s="73"/>
    </row>
    <row r="16">
      <c r="B16" t="s" s="9">
        <v>592</v>
      </c>
      <c r="D16" s="99">
        <f>'Rate Cases'!$G$107</f>
        <v>35.17975940160628</v>
      </c>
      <c r="E16" s="99">
        <f>'Rate Cases'!$G$108</f>
        <v>68.69876612515387</v>
      </c>
      <c r="F16" s="99">
        <f>'Rate Cases'!$G$109</f>
        <v>31.58228550594491</v>
      </c>
      <c r="G16" s="99">
        <f>'Rate Cases'!$G$110</f>
        <v>0</v>
      </c>
      <c r="H16" s="99">
        <f>'Rate Cases'!$G$111</f>
        <v>0</v>
      </c>
      <c r="I16" s="99">
        <f>'Rate Cases'!$G$112</f>
        <v>0</v>
      </c>
      <c r="J16" s="99"/>
      <c r="K16" s="99">
        <f>SUM(D16:H16)</f>
        <v>135.46081103270507</v>
      </c>
      <c r="L16" s="99">
        <f>SUM(D16:I16)</f>
        <v>135.46081103270507</v>
      </c>
    </row>
    <row r="17">
      <c r="B17" t="s" s="151">
        <v>693</v>
      </c>
      <c r="C17" s="152"/>
      <c r="D17" s="153">
        <f>D16-D15</f>
        <v>0</v>
      </c>
      <c r="E17" s="153">
        <f>E16-E15</f>
        <v>0.3943665866740105</v>
      </c>
      <c r="F17" s="153">
        <f>F16-F15</f>
        <v>0.5481355149358649</v>
      </c>
      <c r="G17" s="153">
        <f>G16-G15</f>
        <v>0</v>
      </c>
      <c r="H17" s="153">
        <f>H16-H15</f>
        <v>0</v>
      </c>
      <c r="I17" s="153">
        <f>I16-I15</f>
        <v>0</v>
      </c>
      <c r="J17" s="153"/>
      <c r="K17" s="153">
        <f>SUM(D17:H17)</f>
        <v>0.9425021016098754</v>
      </c>
      <c r="L17" s="153">
        <f>SUM(D17:I17)</f>
        <v>0.9425021016098754</v>
      </c>
    </row>
    <row r="18">
      <c r="B18" t="s" s="143">
        <v>694</v>
      </c>
      <c r="C18" s="34"/>
      <c r="D18" s="145"/>
      <c r="E18" s="145"/>
      <c r="F18" s="145"/>
      <c r="G18" s="145"/>
      <c r="H18" s="145"/>
      <c r="I18" s="145"/>
      <c r="J18" s="145"/>
      <c r="K18" s="145"/>
      <c r="L18" s="145"/>
    </row>
    <row r="19">
      <c r="B19" t="s" s="9">
        <v>601</v>
      </c>
      <c r="D19" s="99">
        <f>D11+D15</f>
        <v>116.51536313812002</v>
      </c>
      <c r="E19" s="99">
        <f>E11+E15</f>
        <v>226.22417127144527</v>
      </c>
      <c r="F19" s="99">
        <f>F11+F15</f>
        <v>213.4817307249494</v>
      </c>
      <c r="G19" s="99">
        <f>G11+G15</f>
        <v>203.56774977381028</v>
      </c>
      <c r="H19" s="99">
        <f>H11+H15</f>
        <v>192.28525921752387</v>
      </c>
      <c r="I19" s="99">
        <f>I11+I15</f>
        <v>176.26755501658963</v>
      </c>
      <c r="J19" s="99"/>
      <c r="K19" s="99">
        <f>SUM(D19:H19)</f>
        <v>952.0742741258488</v>
      </c>
      <c r="L19" s="99">
        <f>SUM(D19:I19)</f>
        <v>1128.3418291424384</v>
      </c>
    </row>
    <row r="20">
      <c r="B20" t="s" s="9">
        <v>592</v>
      </c>
      <c r="D20" s="99">
        <f>D12+D16</f>
        <v>120.71290593521076</v>
      </c>
      <c r="E20" s="99">
        <f>E12+E16</f>
        <v>254.33363311470774</v>
      </c>
      <c r="F20" s="99">
        <f>F12+F16</f>
        <v>246.63137608359398</v>
      </c>
      <c r="G20" s="99">
        <f>G12+G16</f>
        <v>235.5720456435771</v>
      </c>
      <c r="H20" s="99">
        <f>H12+H16</f>
        <v>223.79936090868486</v>
      </c>
      <c r="I20" s="99">
        <f>I12+I16</f>
        <v>208.43157088217347</v>
      </c>
      <c r="J20" s="99"/>
      <c r="K20" s="99">
        <f>SUM(D20:H20)</f>
        <v>1081.0493216857744</v>
      </c>
      <c r="L20" s="99">
        <f>SUM(D20:I20)</f>
        <v>1289.4808925679479</v>
      </c>
    </row>
    <row r="21">
      <c r="B21" t="s" s="151">
        <v>695</v>
      </c>
      <c r="C21" s="152"/>
      <c r="D21" s="153">
        <f>D20-D19</f>
        <v>4.197542797090733</v>
      </c>
      <c r="E21" s="153">
        <f>E20-E19</f>
        <v>28.109461843262466</v>
      </c>
      <c r="F21" s="153">
        <f>F20-F19</f>
        <v>33.14964535864459</v>
      </c>
      <c r="G21" s="153">
        <f>G20-G19</f>
        <v>32.00429586976682</v>
      </c>
      <c r="H21" s="153">
        <f>H20-H19</f>
        <v>31.514101691160988</v>
      </c>
      <c r="I21" s="153">
        <f>I20-I19</f>
        <v>32.16401586558385</v>
      </c>
      <c r="J21" s="153"/>
      <c r="K21" s="153">
        <f>SUM(D21:H21)</f>
        <v>128.9750475599256</v>
      </c>
      <c r="L21" s="153">
        <f>SUM(D21:I21)</f>
        <v>161.13906342550945</v>
      </c>
    </row>
    <row r="22">
      <c r="B22" t="s" s="112">
        <v>696</v>
      </c>
      <c r="C22" s="113"/>
      <c r="D22" s="147">
        <f>D21</f>
        <v>4.197542797090733</v>
      </c>
      <c r="E22" s="147">
        <f>D22+E21</f>
        <v>32.3070046403532</v>
      </c>
      <c r="F22" s="147">
        <f>E22+F21</f>
        <v>65.45664999899779</v>
      </c>
      <c r="G22" s="147">
        <f>F22+G21</f>
        <v>97.46094586876461</v>
      </c>
      <c r="H22" s="147">
        <f>G22+H21</f>
        <v>128.9750475599256</v>
      </c>
      <c r="I22" s="147">
        <f>H22+I21</f>
        <v>161.13906342550945</v>
      </c>
      <c r="J22" s="147"/>
      <c r="K22" s="147">
        <f>H22</f>
        <v>128.9750475599256</v>
      </c>
      <c r="L22" s="147">
        <f>I22</f>
        <v>161.13906342550945</v>
      </c>
    </row>
    <row r="23">
      <c r="B23" t="s" s="143">
        <v>697</v>
      </c>
      <c r="C23" s="34"/>
      <c r="D23" s="34"/>
      <c r="E23" s="34"/>
      <c r="F23" s="34"/>
      <c r="G23" s="34"/>
      <c r="H23" s="34"/>
      <c r="I23" s="34"/>
      <c r="J23" s="34"/>
      <c r="K23" s="34"/>
      <c r="L23" s="34"/>
    </row>
    <row r="24">
      <c r="B24" t="s" s="9">
        <v>601</v>
      </c>
      <c r="D24" s="100">
        <f>'Rate Cases'!$D$113</f>
        <v>2.0918408088826363</v>
      </c>
      <c r="E24" s="100">
        <f>'Rate Cases'!$D$114</f>
        <v>2.4211846473394085</v>
      </c>
      <c r="F24" s="100">
        <f>'Rate Cases'!$D$115</f>
        <v>2.4073823216300223</v>
      </c>
      <c r="G24" s="100">
        <f>'Rate Cases'!$D$116</f>
        <v>2.515787313432431</v>
      </c>
      <c r="H24" s="100">
        <f>'Rate Cases'!$D$117</f>
        <v>2.969965134551802</v>
      </c>
      <c r="I24" s="100">
        <f>'Rate Cases'!$D$118</f>
        <v>3.591756020414572</v>
      </c>
    </row>
    <row r="25">
      <c r="B25" t="s" s="9">
        <v>592</v>
      </c>
      <c r="D25" s="100">
        <f>'Rate Cases'!$G$113</f>
        <v>1.9909755325578997</v>
      </c>
      <c r="E25" s="100">
        <f>'Rate Cases'!$G$114</f>
        <v>2.069958151053734</v>
      </c>
      <c r="F25" s="100">
        <f>'Rate Cases'!$G$115</f>
        <v>2.0518952650794984</v>
      </c>
      <c r="G25" s="100">
        <f>'Rate Cases'!$G$116</f>
        <v>2.1751728231522582</v>
      </c>
      <c r="H25" s="100">
        <f>'Rate Cases'!$G$117</f>
        <v>2.5532650418193032</v>
      </c>
      <c r="I25" s="100">
        <f>'Rate Cases'!$G$118</f>
        <v>3.0396481535638378</v>
      </c>
    </row>
    <row r="26">
      <c r="B26" t="s" s="9">
        <v>698</v>
      </c>
      <c r="D26" s="148">
        <f>D25-D24</f>
        <v>-0.10086527632473663</v>
      </c>
      <c r="E26" s="148">
        <f>E25-E24</f>
        <v>-0.35122649628567437</v>
      </c>
      <c r="F26" s="148">
        <f>F25-F24</f>
        <v>-0.3554870565505239</v>
      </c>
      <c r="G26" s="148">
        <f>G25-G24</f>
        <v>-0.3406144902801729</v>
      </c>
      <c r="H26" s="148">
        <f>H25-H24</f>
        <v>-0.41670009273249864</v>
      </c>
      <c r="I26" s="148">
        <f>I25-I24</f>
        <v>-0.5521078668507342</v>
      </c>
    </row>
    <row r="27">
      <c r="B27" t="s" s="143">
        <v>699</v>
      </c>
      <c r="C27" s="34"/>
      <c r="D27" s="34"/>
      <c r="E27" s="34"/>
      <c r="F27" s="34"/>
      <c r="G27" s="34"/>
      <c r="H27" s="34"/>
      <c r="I27" s="34"/>
      <c r="J27" s="34"/>
      <c r="K27" s="34"/>
      <c r="L27" s="34"/>
    </row>
    <row r="28">
      <c r="B28" t="s" s="9">
        <v>601</v>
      </c>
      <c r="D28" s="100">
        <f>'Rate Cases'!$D$119</f>
        <v>7.9243497383162325</v>
      </c>
      <c r="E28" s="100">
        <f>'Rate Cases'!$D$120</f>
        <v>6.711359698993447</v>
      </c>
      <c r="F28" s="100">
        <f>'Rate Cases'!$D$121</f>
        <v>5.738887808626062</v>
      </c>
      <c r="G28" s="100">
        <f>'Rate Cases'!$D$122</f>
        <v>4.829642596965419</v>
      </c>
      <c r="H28" s="100">
        <f>'Rate Cases'!$D$123</f>
        <v>4.027548766544511</v>
      </c>
      <c r="I28" s="100">
        <f>'Rate Cases'!$D$124</f>
        <v>3.2569713462921066</v>
      </c>
    </row>
    <row r="29">
      <c r="B29" t="s" s="9">
        <v>592</v>
      </c>
      <c r="D29" s="100">
        <f>'Rate Cases'!$G$119</f>
        <v>7.936648178943915</v>
      </c>
      <c r="E29" s="100">
        <f>'Rate Cases'!$G$120</f>
        <v>6.791135563205034</v>
      </c>
      <c r="F29" s="100">
        <f>'Rate Cases'!$G$121</f>
        <v>5.879937018089394</v>
      </c>
      <c r="G29" s="100">
        <f>'Rate Cases'!$G$122</f>
        <v>5.01476122866013</v>
      </c>
      <c r="H29" s="100">
        <f>'Rate Cases'!$G$123</f>
        <v>4.24731143697942</v>
      </c>
      <c r="I29" s="100">
        <f>'Rate Cases'!$G$124</f>
        <v>3.504661771324808</v>
      </c>
    </row>
    <row r="30">
      <c r="B30" t="s" s="9">
        <v>698</v>
      </c>
      <c r="D30" s="148">
        <f>D29-D28</f>
        <v>0.012298440627682261</v>
      </c>
      <c r="E30" s="148">
        <f>E29-E28</f>
        <v>0.07977586421158733</v>
      </c>
      <c r="F30" s="148">
        <f>F29-F28</f>
        <v>0.14104920946333177</v>
      </c>
      <c r="G30" s="148">
        <f>G29-G28</f>
        <v>0.18511863169471088</v>
      </c>
      <c r="H30" s="148">
        <f>H29-H28</f>
        <v>0.2197626704349087</v>
      </c>
      <c r="I30" s="148">
        <f>I29-I28</f>
        <v>0.24769042503270144</v>
      </c>
    </row>
    <row r="31">
      <c r="B31" t="s" s="143">
        <v>700</v>
      </c>
      <c r="C31" s="34"/>
      <c r="D31" s="34"/>
      <c r="E31" s="34"/>
      <c r="F31" s="34"/>
      <c r="G31" s="34"/>
      <c r="H31" s="34"/>
      <c r="I31" s="34"/>
      <c r="J31" s="34"/>
      <c r="K31" s="34"/>
      <c r="L31" s="34"/>
    </row>
    <row r="32">
      <c r="B32" t="s" s="9">
        <v>701</v>
      </c>
      <c r="H32" s="99">
        <f>'Rate Cases'!$D$134</f>
        <v>2309.77349138827</v>
      </c>
    </row>
    <row r="33">
      <c r="B33" t="s" s="9">
        <v>702</v>
      </c>
      <c r="H33" s="99">
        <f>'Rate Cases'!$G$134</f>
        <v>2435.8059791345954</v>
      </c>
    </row>
    <row r="34">
      <c r="B34" t="s" s="9">
        <v>698</v>
      </c>
      <c r="H34" s="146">
        <f>H33-H32</f>
        <v>126.03248774632539</v>
      </c>
    </row>
    <row r="35">
      <c r="B35" t="s" s="9">
        <v>703</v>
      </c>
      <c r="H35" s="149">
        <f>'Rate Cases'!$D$135</f>
        <v>0.2107179328633042</v>
      </c>
    </row>
    <row r="36">
      <c r="B36" t="s" s="9">
        <v>704</v>
      </c>
      <c r="H36" s="149">
        <f>'Rate Cases'!$G$135</f>
        <v>0.2082301161586022</v>
      </c>
    </row>
    <row r="37">
      <c r="B37" t="s" s="9">
        <v>698</v>
      </c>
      <c r="H37" s="150">
        <f>H36-H35</f>
        <v>-0.002487816704701995</v>
      </c>
    </row>
    <row r="38">
      <c r="B38" t="s" s="143">
        <v>705</v>
      </c>
      <c r="C38" s="34"/>
      <c r="D38" s="34"/>
      <c r="E38" s="34"/>
      <c r="F38" s="34"/>
      <c r="G38" s="34"/>
      <c r="H38" s="34"/>
      <c r="I38" s="34"/>
      <c r="J38" s="34"/>
      <c r="K38" s="34"/>
      <c r="L38" s="34"/>
    </row>
    <row r="39">
      <c r="B39" t="s" s="9">
        <v>706</v>
      </c>
      <c r="H39" s="99">
        <f>H32</f>
        <v>2309.77349138827</v>
      </c>
    </row>
    <row r="40">
      <c r="B40" t="s" s="9">
        <v>707</v>
      </c>
      <c r="H40" s="99">
        <f>'Debt Schedule'!$H$136</f>
        <v>2309.77349138827</v>
      </c>
    </row>
    <row r="41">
      <c r="B41" t="s" s="112">
        <v>314</v>
      </c>
      <c r="C41" s="113"/>
      <c r="D41" s="113"/>
      <c r="E41" s="113"/>
      <c r="F41" s="113"/>
      <c r="G41" s="113"/>
      <c r="H41" s="134">
        <f>H39-H40</f>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54"/>
  <sheetViews>
    <sheetView showGridLines="0" workbookViewId="0">
      <selection activeCell="A1" sqref="A1"/>
    </sheetView>
  </sheetViews>
  <cols>
    <col min="1" max="1" width="2.21875" customWidth="1"/>
    <col min="2" max="2" width="62.7890625" customWidth="1"/>
    <col min="3" max="3" width="2.21875" customWidth="1"/>
    <col min="4" max="12" width="11.7890625" customWidth="1"/>
    <col min="13" max="13" width="3.7890625" customWidth="1"/>
    <col min="14" max="14" width="22.7890625" customWidth="1"/>
    <col min="15" max="20" width="12.50390625" customWidth="1"/>
    <col min="21" max="22" width="10.64453125" customWidth="1"/>
  </cols>
  <sheetData>
    <row r="2">
      <c r="B2" t="s" s="2">
        <v>710</v>
      </c>
    </row>
    <row r="3">
      <c r="B3" t="s" s="3">
        <v>711</v>
      </c>
    </row>
    <row r="5">
      <c r="B5" t="s" s="34">
        <v>712</v>
      </c>
      <c r="C5" s="34"/>
      <c r="D5" s="34"/>
      <c r="E5" s="34"/>
      <c r="F5" s="34"/>
      <c r="G5" s="34"/>
      <c r="H5" s="34"/>
      <c r="I5" s="34"/>
      <c r="J5" s="34"/>
      <c r="K5" s="34"/>
      <c r="L5" s="34"/>
    </row>
    <row r="6">
      <c r="B6" t="s" s="9">
        <v>713</v>
      </c>
      <c r="D6" t="s" s="73">
        <v>415</v>
      </c>
    </row>
    <row r="7">
      <c r="B7" t="s" s="9">
        <v>714</v>
      </c>
      <c r="D7" s="130">
        <f>'Rate Cases'!$C$15</f>
        <v>1350</v>
      </c>
    </row>
    <row r="8">
      <c r="B8" t="s" s="9">
        <v>715</v>
      </c>
      <c r="D8" s="107">
        <f>'Rate Cases'!$C$17</f>
        <v>46324</v>
      </c>
    </row>
    <row r="9">
      <c r="B9" t="s" s="9">
        <v>716</v>
      </c>
      <c r="D9" s="107">
        <f>'Rate Cases'!$C$18</f>
        <v>47294</v>
      </c>
    </row>
    <row r="10">
      <c r="B10" t="s" s="9">
        <v>717</v>
      </c>
      <c r="D10" s="108">
        <f>'Rate Cases'!$C$19</f>
        <v>0.0466397568</v>
      </c>
    </row>
    <row r="11">
      <c r="B11" t="s" s="9">
        <v>718</v>
      </c>
      <c r="D11" s="154">
        <f>'Rate Cases'!$C$21</f>
        <v>0.0475</v>
      </c>
    </row>
    <row r="12">
      <c r="B12" t="s" s="9">
        <v>719</v>
      </c>
      <c r="D12" s="154">
        <f>'Rate Cases'!$C$22</f>
        <v>0.045087515550507266</v>
      </c>
    </row>
    <row r="13">
      <c r="B13" t="s" s="9">
        <v>587</v>
      </c>
      <c r="D13" t="s" s="73">
        <v>600</v>
      </c>
    </row>
    <row r="15">
      <c r="B15" t="s" s="34">
        <v>720</v>
      </c>
      <c r="C15" s="34"/>
      <c r="D15" s="155">
        <f>'Forward Curve'!D$15</f>
        <v>46387</v>
      </c>
      <c r="E15" s="155">
        <f>'Forward Curve'!E$15</f>
        <v>46752</v>
      </c>
      <c r="F15" s="155">
        <f>'Forward Curve'!F$15</f>
        <v>47118</v>
      </c>
      <c r="G15" s="155">
        <f>'Forward Curve'!G$15</f>
        <v>47483</v>
      </c>
      <c r="H15" s="155">
        <f>'Forward Curve'!H$15</f>
        <v>47848</v>
      </c>
      <c r="I15" s="155">
        <f>'Forward Curve'!I$15</f>
        <v>48213</v>
      </c>
      <c r="J15" s="127"/>
      <c r="K15" t="s" s="127">
        <v>385</v>
      </c>
      <c r="L15" s="127"/>
    </row>
    <row r="16">
      <c r="B16" t="s" s="9">
        <v>592</v>
      </c>
      <c r="D16" s="99">
        <f>'Rate Cases'!D64</f>
        <v>0</v>
      </c>
      <c r="E16" s="99">
        <f>'Rate Cases'!E64</f>
        <v>0</v>
      </c>
      <c r="F16" s="99">
        <f>'Rate Cases'!F64</f>
        <v>0</v>
      </c>
      <c r="G16" s="99">
        <f>'Rate Cases'!G64</f>
        <v>0</v>
      </c>
      <c r="H16" s="99">
        <f>'Rate Cases'!H64</f>
        <v>0</v>
      </c>
      <c r="I16" s="99">
        <f>'Rate Cases'!I64</f>
        <v>0</v>
      </c>
      <c r="J16" s="99"/>
      <c r="K16" s="99">
        <f>SUM(D16:I16)</f>
        <v>0</v>
      </c>
    </row>
    <row r="17">
      <c r="B17" t="s" s="9">
        <v>593</v>
      </c>
      <c r="D17" s="99">
        <f>'Rate Cases'!D65</f>
        <v>0.7165228140000004</v>
      </c>
      <c r="E17" s="99">
        <f>'Rate Cases'!E65</f>
        <v>10.339442421375002</v>
      </c>
      <c r="F17" s="99">
        <f>'Rate Cases'!F65</f>
        <v>11.6448387945</v>
      </c>
      <c r="G17" s="99">
        <f>'Rate Cases'!G65</f>
        <v>5.006814162375001</v>
      </c>
      <c r="H17" s="99">
        <f>'Rate Cases'!H65</f>
        <v>0</v>
      </c>
      <c r="I17" s="99">
        <f>'Rate Cases'!I65</f>
        <v>0</v>
      </c>
      <c r="J17" s="99"/>
      <c r="K17" s="99">
        <f>SUM(D17:I17)</f>
        <v>27.707618192250003</v>
      </c>
    </row>
    <row r="18">
      <c r="B18" t="s" s="9">
        <v>594</v>
      </c>
      <c r="D18" s="99">
        <f>'Rate Cases'!D66</f>
        <v>3.079022813999999</v>
      </c>
      <c r="E18" s="99">
        <f>'Rate Cases'!E66</f>
        <v>24.026942421374994</v>
      </c>
      <c r="F18" s="99">
        <f>'Rate Cases'!F66</f>
        <v>25.369838794499998</v>
      </c>
      <c r="G18" s="99">
        <f>'Rate Cases'!G66</f>
        <v>11.606814162374999</v>
      </c>
      <c r="H18" s="99">
        <f>'Rate Cases'!H66</f>
        <v>0</v>
      </c>
      <c r="I18" s="99">
        <f>'Rate Cases'!I66</f>
        <v>0</v>
      </c>
      <c r="J18" s="99"/>
      <c r="K18" s="99">
        <f>SUM(D18:I18)</f>
        <v>64.08261819225</v>
      </c>
    </row>
    <row r="19">
      <c r="B19" t="s" s="9">
        <v>595</v>
      </c>
      <c r="D19" s="99">
        <f>'Rate Cases'!D67</f>
        <v>0</v>
      </c>
      <c r="E19" s="99">
        <f>'Rate Cases'!E67</f>
        <v>0</v>
      </c>
      <c r="F19" s="99">
        <f>'Rate Cases'!F67</f>
        <v>0</v>
      </c>
      <c r="G19" s="99">
        <f>'Rate Cases'!G67</f>
        <v>0</v>
      </c>
      <c r="H19" s="99">
        <f>'Rate Cases'!H67</f>
        <v>0</v>
      </c>
      <c r="I19" s="99">
        <f>'Rate Cases'!I67</f>
        <v>0</v>
      </c>
      <c r="J19" s="99"/>
      <c r="K19" s="99">
        <f>SUM(D19:I19)</f>
        <v>0</v>
      </c>
    </row>
    <row r="20">
      <c r="B20" s="9"/>
      <c r="D20" s="99"/>
      <c r="E20" s="99"/>
      <c r="F20" s="99"/>
      <c r="G20" s="99"/>
      <c r="H20" s="99"/>
      <c r="I20" s="99"/>
      <c r="J20" s="99"/>
      <c r="K20" s="99"/>
    </row>
    <row r="21">
      <c r="B21" t="s" s="143">
        <v>721</v>
      </c>
      <c r="C21" s="34"/>
      <c r="D21" s="155">
        <f>'Forward Curve'!D$15</f>
        <v>46387</v>
      </c>
      <c r="E21" s="155">
        <f>'Forward Curve'!E$15</f>
        <v>46752</v>
      </c>
      <c r="F21" s="155">
        <f>'Forward Curve'!F$15</f>
        <v>47118</v>
      </c>
      <c r="G21" s="155">
        <f>'Forward Curve'!G$15</f>
        <v>47483</v>
      </c>
      <c r="H21" s="155">
        <f>'Forward Curve'!H$15</f>
        <v>47848</v>
      </c>
      <c r="I21" s="155">
        <f>'Forward Curve'!I$15</f>
        <v>48213</v>
      </c>
      <c r="J21" s="156"/>
      <c r="K21" t="s" s="156">
        <v>385</v>
      </c>
      <c r="L21" s="127"/>
    </row>
    <row r="22">
      <c r="B22" t="s" s="9">
        <v>592</v>
      </c>
      <c r="D22" s="99">
        <f>'Rate Cases'!D71</f>
        <v>1.0760277348073415</v>
      </c>
      <c r="E22" s="99">
        <f>'Rate Cases'!E71</f>
        <v>0.045969488381820876</v>
      </c>
      <c r="F22" s="99">
        <f>'Rate Cases'!F71</f>
        <v>-1.2309737014287745</v>
      </c>
      <c r="G22" s="99">
        <f>'Rate Cases'!G71</f>
        <v>0.0009461009597957864</v>
      </c>
      <c r="H22" s="99">
        <f>'Rate Cases'!H71</f>
        <v>0</v>
      </c>
      <c r="I22" s="99">
        <f>'Rate Cases'!I71</f>
        <v>0</v>
      </c>
      <c r="J22" s="99"/>
      <c r="K22" s="99">
        <f>SUM(D22:I22)</f>
        <v>-0.1080303772798163</v>
      </c>
    </row>
    <row r="23">
      <c r="B23" t="s" s="9">
        <v>593</v>
      </c>
      <c r="D23" s="99">
        <f>'Rate Cases'!D72</f>
        <v>-1.286472265192659</v>
      </c>
      <c r="E23" s="99">
        <f>'Rate Cases'!E72</f>
        <v>-13.641530511618182</v>
      </c>
      <c r="F23" s="99">
        <f>'Rate Cases'!F72</f>
        <v>-14.955973701428775</v>
      </c>
      <c r="G23" s="99">
        <f>'Rate Cases'!G72</f>
        <v>-6.5990538990402055</v>
      </c>
      <c r="H23" s="99">
        <f>'Rate Cases'!H72</f>
        <v>0</v>
      </c>
      <c r="I23" s="99">
        <f>'Rate Cases'!I72</f>
        <v>0</v>
      </c>
      <c r="J23" s="99"/>
      <c r="K23" s="99">
        <f>SUM(D23:I23)</f>
        <v>-36.483030377279825</v>
      </c>
    </row>
    <row r="24">
      <c r="B24" t="s" s="9">
        <v>594</v>
      </c>
      <c r="D24" s="99">
        <f>'Rate Cases'!D73</f>
        <v>-3.6489722651926577</v>
      </c>
      <c r="E24" s="99">
        <f>'Rate Cases'!E73</f>
        <v>-27.32903051161818</v>
      </c>
      <c r="F24" s="99">
        <f>'Rate Cases'!F73</f>
        <v>-28.68097370142877</v>
      </c>
      <c r="G24" s="99">
        <f>'Rate Cases'!G73</f>
        <v>-13.199053899040203</v>
      </c>
      <c r="H24" s="99">
        <f>'Rate Cases'!H73</f>
        <v>0</v>
      </c>
      <c r="I24" s="99">
        <f>'Rate Cases'!I73</f>
        <v>0</v>
      </c>
      <c r="J24" s="99"/>
      <c r="K24" s="99">
        <f>SUM(D24:I24)</f>
        <v>-72.85803037727982</v>
      </c>
    </row>
    <row r="25">
      <c r="B25" t="s" s="9">
        <v>595</v>
      </c>
      <c r="D25" s="99">
        <f>'Rate Cases'!D74</f>
        <v>1.0760277348073415</v>
      </c>
      <c r="E25" s="99">
        <f>'Rate Cases'!E74</f>
        <v>0.03460182350682052</v>
      </c>
      <c r="F25" s="99">
        <f>'Rate Cases'!F74</f>
        <v>-2.130451114928779</v>
      </c>
      <c r="G25" s="99">
        <f>'Rate Cases'!G74</f>
        <v>-1.024479224665205</v>
      </c>
      <c r="H25" s="99">
        <f>'Rate Cases'!H74</f>
        <v>0</v>
      </c>
      <c r="I25" s="99">
        <f>'Rate Cases'!I74</f>
        <v>0</v>
      </c>
      <c r="J25" s="99"/>
      <c r="K25" s="99">
        <f>SUM(D25:I25)</f>
        <v>-2.044300781279822</v>
      </c>
    </row>
    <row r="26">
      <c r="B26" s="9"/>
      <c r="D26" s="99"/>
      <c r="E26" s="99"/>
      <c r="F26" s="99"/>
      <c r="G26" s="99"/>
      <c r="H26" s="99"/>
      <c r="I26" s="99"/>
      <c r="J26" s="99"/>
      <c r="K26" s="99"/>
    </row>
    <row r="27">
      <c r="B27" t="s" s="143">
        <v>722</v>
      </c>
      <c r="C27" s="34"/>
      <c r="D27" s="155">
        <f>'Forward Curve'!D$15</f>
        <v>46387</v>
      </c>
      <c r="E27" s="155">
        <f>'Forward Curve'!E$15</f>
        <v>46752</v>
      </c>
      <c r="F27" s="155">
        <f>'Forward Curve'!F$15</f>
        <v>47118</v>
      </c>
      <c r="G27" s="155">
        <f>'Forward Curve'!G$15</f>
        <v>47483</v>
      </c>
      <c r="H27" s="155">
        <f>'Forward Curve'!H$15</f>
        <v>47848</v>
      </c>
      <c r="I27" s="155">
        <f>'Forward Curve'!I$15</f>
        <v>48213</v>
      </c>
      <c r="J27" s="156"/>
      <c r="K27" t="s" s="156">
        <v>385</v>
      </c>
      <c r="L27" s="127"/>
    </row>
    <row r="28">
      <c r="B28" t="s" s="9">
        <v>723</v>
      </c>
      <c r="D28" s="99">
        <f>'Rate Cases'!$G$89</f>
        <v>85.53314653360448</v>
      </c>
      <c r="E28" s="99">
        <f>'Rate Cases'!$G$90</f>
        <v>185.63486698955387</v>
      </c>
      <c r="F28" s="99">
        <f>'Rate Cases'!$G$91</f>
        <v>215.04909057764908</v>
      </c>
      <c r="G28" s="99">
        <f>'Rate Cases'!$G$92</f>
        <v>235.5720456435771</v>
      </c>
      <c r="H28" s="99">
        <f>'Rate Cases'!$G$93</f>
        <v>223.79936090868486</v>
      </c>
      <c r="I28" s="99">
        <f>'Rate Cases'!$G$94</f>
        <v>208.43157088217347</v>
      </c>
      <c r="J28" s="99"/>
      <c r="K28" s="99">
        <f>SUM(D28:I28)</f>
        <v>1154.020081535243</v>
      </c>
    </row>
    <row r="29">
      <c r="B29" t="s" s="157">
        <v>724</v>
      </c>
      <c r="C29" s="3"/>
      <c r="D29" s="158">
        <f>'Rate Cases'!$I$89+'Rate Cases'!$I$95</f>
        <v>86.60917426841182</v>
      </c>
      <c r="E29" s="158">
        <f>'Rate Cases'!$I$90+'Rate Cases'!$I$96</f>
        <v>185.72182158648602</v>
      </c>
      <c r="F29" s="158">
        <f>'Rate Cases'!$I$91+'Rate Cases'!$I$97</f>
        <v>213.86707422199711</v>
      </c>
      <c r="G29" s="158">
        <f>'Rate Cases'!$I$92+'Rate Cases'!$I$98</f>
        <v>235.5765596903102</v>
      </c>
      <c r="H29" s="158">
        <f>'Rate Cases'!$I$93+'Rate Cases'!$I$99</f>
        <v>223.80326493983497</v>
      </c>
      <c r="I29" s="158">
        <f>'Rate Cases'!$I$94+'Rate Cases'!$I$100</f>
        <v>208.43582379803888</v>
      </c>
      <c r="J29" s="158"/>
      <c r="K29" s="158">
        <f>SUM(D29:I29)</f>
        <v>1154.013718505079</v>
      </c>
    </row>
    <row r="30">
      <c r="B30" t="s" s="9">
        <v>725</v>
      </c>
      <c r="D30" s="99">
        <f>'Rate Cases'!$J$89</f>
        <v>90.22378112048531</v>
      </c>
      <c r="E30" s="99">
        <f>'Rate Cases'!$J$90</f>
        <v>214.40088068886413</v>
      </c>
      <c r="F30" s="99">
        <f>'Rate Cases'!$J$91</f>
        <v>246.86779131763367</v>
      </c>
      <c r="G30" s="99">
        <f>'Rate Cases'!$J$92</f>
        <v>270.50816786867944</v>
      </c>
      <c r="H30" s="99">
        <f>'Rate Cases'!$J$93</f>
        <v>260.9502559920554</v>
      </c>
      <c r="I30" s="99">
        <f>'Rate Cases'!$J$94</f>
        <v>247.4291301083288</v>
      </c>
      <c r="J30" s="99"/>
      <c r="K30" s="99">
        <f>SUM(D30:I30)</f>
        <v>1330.3800070960467</v>
      </c>
    </row>
    <row r="31">
      <c r="B31" t="s" s="157">
        <v>726</v>
      </c>
      <c r="C31" s="3"/>
      <c r="D31" s="158">
        <f>'Rate Cases'!$L$89+'Rate Cases'!$L$95</f>
        <v>88.93730885529266</v>
      </c>
      <c r="E31" s="158">
        <f>'Rate Cases'!$L$90+'Rate Cases'!$L$96</f>
        <v>200.14593663596708</v>
      </c>
      <c r="F31" s="158">
        <f>'Rate Cases'!$L$91+'Rate Cases'!$L$97</f>
        <v>229.74903324283562</v>
      </c>
      <c r="G31" s="158">
        <f>'Rate Cases'!$L$92+'Rate Cases'!$L$98</f>
        <v>260.1710746733776</v>
      </c>
      <c r="H31" s="158">
        <f>'Rate Cases'!$L$93+'Rate Cases'!$L$99</f>
        <v>256.52569699176485</v>
      </c>
      <c r="I31" s="158">
        <f>'Rate Cases'!$L$94+'Rate Cases'!$L$100</f>
        <v>242.5600812540336</v>
      </c>
      <c r="J31" s="158"/>
      <c r="K31" s="158">
        <f>SUM(D31:I31)</f>
        <v>1278.0891316532714</v>
      </c>
    </row>
    <row r="32">
      <c r="B32" t="s" s="9">
        <v>727</v>
      </c>
      <c r="D32" s="99">
        <f>'Rate Cases'!$M$89</f>
        <v>94.91441570736615</v>
      </c>
      <c r="E32" s="99">
        <f>'Rate Cases'!$M$90</f>
        <v>242.50707712260353</v>
      </c>
      <c r="F32" s="99">
        <f>'Rate Cases'!$M$91</f>
        <v>277.0070847521119</v>
      </c>
      <c r="G32" s="99">
        <f>'Rate Cases'!$M$92</f>
        <v>304.6047001424092</v>
      </c>
      <c r="H32" s="99">
        <f>'Rate Cases'!$M$93</f>
        <v>299.98709551149</v>
      </c>
      <c r="I32" s="99">
        <f>'Rate Cases'!$M$94</f>
        <v>290.3729748925871</v>
      </c>
      <c r="J32" s="99"/>
      <c r="K32" s="99">
        <f>SUM(D32:I32)</f>
        <v>1509.3933481285678</v>
      </c>
    </row>
    <row r="33">
      <c r="B33" t="s" s="157">
        <v>728</v>
      </c>
      <c r="C33" s="3"/>
      <c r="D33" s="158">
        <f>'Rate Cases'!$O$89+'Rate Cases'!$O$95</f>
        <v>91.26544344217349</v>
      </c>
      <c r="E33" s="158">
        <f>'Rate Cases'!$O$90+'Rate Cases'!$O$96</f>
        <v>214.7429348852713</v>
      </c>
      <c r="F33" s="158">
        <f>'Rate Cases'!$O$91+'Rate Cases'!$O$97</f>
        <v>246.15986862021308</v>
      </c>
      <c r="G33" s="158">
        <f>'Rate Cases'!$O$92+'Rate Cases'!$O$98</f>
        <v>285.7747146136977</v>
      </c>
      <c r="H33" s="158">
        <f>'Rate Cases'!$O$93+'Rate Cases'!$O$99</f>
        <v>290.95961513243003</v>
      </c>
      <c r="I33" s="158">
        <f>'Rate Cases'!$O$94+'Rate Cases'!$O$100</f>
        <v>279.27848570755776</v>
      </c>
      <c r="J33" s="158"/>
      <c r="K33" s="158">
        <f>SUM(D33:I33)</f>
        <v>1408.1810624013435</v>
      </c>
    </row>
    <row r="34">
      <c r="B34" t="s" s="9">
        <v>729</v>
      </c>
      <c r="D34" s="99">
        <f>'Rate Cases'!$P$89</f>
        <v>85.53314653360448</v>
      </c>
      <c r="E34" s="99">
        <f>'Rate Cases'!$P$90</f>
        <v>185.65847488411066</v>
      </c>
      <c r="F34" s="99">
        <f>'Rate Cases'!$P$91</f>
        <v>216.92544639882925</v>
      </c>
      <c r="G34" s="99">
        <f>'Rate Cases'!$P$92</f>
        <v>240.71844480328127</v>
      </c>
      <c r="H34" s="99">
        <f>'Rate Cases'!$P$93</f>
        <v>231.1014974973912</v>
      </c>
      <c r="I34" s="99">
        <f>'Rate Cases'!$P$94</f>
        <v>216.1823499974166</v>
      </c>
      <c r="J34" s="99"/>
      <c r="K34" s="99">
        <f>SUM(D34:I34)</f>
        <v>1176.1193601146335</v>
      </c>
    </row>
    <row r="35">
      <c r="B35" t="s" s="157">
        <v>730</v>
      </c>
      <c r="C35" s="3"/>
      <c r="D35" s="158">
        <f>'Rate Cases'!$R$89+'Rate Cases'!$R$95</f>
        <v>86.60917426841182</v>
      </c>
      <c r="E35" s="158">
        <f>'Rate Cases'!$R$90+'Rate Cases'!$R$96</f>
        <v>185.73366454584425</v>
      </c>
      <c r="F35" s="158">
        <f>'Rate Cases'!$R$91+'Rate Cases'!$R$97</f>
        <v>214.80625034346963</v>
      </c>
      <c r="G35" s="158">
        <f>'Rate Cases'!$R$92+'Rate Cases'!$R$98</f>
        <v>239.5607078352538</v>
      </c>
      <c r="H35" s="158">
        <f>'Rate Cases'!$R$93+'Rate Cases'!$R$99</f>
        <v>230.90801611652708</v>
      </c>
      <c r="I35" s="158">
        <f>'Rate Cases'!$R$94+'Rate Cases'!$R$100</f>
        <v>215.97081718312404</v>
      </c>
      <c r="J35" s="158"/>
      <c r="K35" s="158">
        <f>SUM(D35:I35)</f>
        <v>1173.5886302926306</v>
      </c>
    </row>
    <row r="37">
      <c r="B37" t="s" s="34">
        <v>731</v>
      </c>
      <c r="C37" s="34"/>
      <c r="D37" s="34"/>
      <c r="E37" s="34"/>
      <c r="F37" s="34"/>
      <c r="G37" s="34"/>
      <c r="H37" s="34"/>
      <c r="I37" s="34"/>
      <c r="J37" s="34"/>
      <c r="K37" s="34"/>
      <c r="L37" s="34"/>
      <c r="N37" t="s" s="34">
        <v>764</v>
      </c>
      <c r="O37" s="34"/>
      <c r="P37" s="34"/>
      <c r="Q37" s="34"/>
      <c r="R37" s="34"/>
      <c r="S37" s="34"/>
      <c r="T37" s="34"/>
      <c r="U37" s="34"/>
      <c r="V37" s="34"/>
    </row>
    <row r="38">
      <c r="D38" t="s" s="36">
        <v>685</v>
      </c>
      <c r="E38" s="36"/>
      <c r="F38" s="36"/>
      <c r="G38" t="s" s="36">
        <v>736</v>
      </c>
      <c r="H38" s="36"/>
      <c r="I38" s="36"/>
      <c r="J38" t="s" s="36">
        <v>737</v>
      </c>
      <c r="K38" s="36"/>
      <c r="L38" s="36"/>
      <c r="O38" t="s" s="173">
        <v>317</v>
      </c>
      <c r="P38" s="173"/>
      <c r="Q38" s="173"/>
      <c r="R38" t="s" s="173">
        <v>456</v>
      </c>
      <c r="S38" s="173"/>
      <c r="T38" s="173"/>
      <c r="U38" t="s" s="173">
        <v>765</v>
      </c>
      <c r="V38" s="173"/>
    </row>
    <row r="39">
      <c r="B39" t="s" s="111">
        <v>615</v>
      </c>
      <c r="C39" s="109"/>
      <c r="D39" t="s" s="109">
        <v>734</v>
      </c>
      <c r="E39" t="s" s="109">
        <v>735</v>
      </c>
      <c r="F39" t="s" s="109">
        <v>294</v>
      </c>
      <c r="G39" t="s" s="109">
        <v>734</v>
      </c>
      <c r="H39" t="s" s="109">
        <v>735</v>
      </c>
      <c r="I39" t="s" s="109">
        <v>294</v>
      </c>
      <c r="J39" t="s" s="109">
        <v>734</v>
      </c>
      <c r="K39" t="s" s="109">
        <v>735</v>
      </c>
      <c r="L39" t="s" s="109">
        <v>294</v>
      </c>
      <c r="N39" t="s" s="111">
        <v>615</v>
      </c>
      <c r="O39" t="s" s="109">
        <v>685</v>
      </c>
      <c r="P39" t="s" s="109">
        <v>686</v>
      </c>
      <c r="Q39" t="s" s="109">
        <v>687</v>
      </c>
      <c r="R39" t="s" s="109">
        <v>685</v>
      </c>
      <c r="S39" t="s" s="109">
        <v>686</v>
      </c>
      <c r="T39" t="s" s="109">
        <v>687</v>
      </c>
      <c r="U39" t="s" s="109">
        <v>685</v>
      </c>
      <c r="V39" t="s" s="109">
        <v>687</v>
      </c>
    </row>
    <row r="40">
      <c r="B40" t="s" s="9">
        <v>732</v>
      </c>
      <c r="D40" s="100">
        <f>'Rate Cases'!$D$131</f>
        <v>2.0918408088826363</v>
      </c>
      <c r="E40" s="102">
        <f>'Rate Cases'!$D$132</f>
        <v>2026</v>
      </c>
      <c r="F40" s="99">
        <f>'Rate Cases'!$D$133</f>
        <v>0</v>
      </c>
      <c r="G40" s="100">
        <f>'Rate Cases'!$E$131</f>
        <v>2.0918408088826363</v>
      </c>
      <c r="H40" s="102">
        <f>'Rate Cases'!$E$132</f>
        <v>2026</v>
      </c>
      <c r="I40" s="99">
        <f>'Rate Cases'!$E$133</f>
        <v>0</v>
      </c>
      <c r="J40" s="100">
        <f>'Rate Cases'!$F$131</f>
        <v>2.0350472089837743</v>
      </c>
      <c r="K40" s="102">
        <f>'Rate Cases'!$F$132</f>
        <v>2026</v>
      </c>
      <c r="L40" s="99">
        <f>'Rate Cases'!$F$133</f>
        <v>0</v>
      </c>
      <c r="N40" t="s">
        <v>592</v>
      </c>
      <c r="O40" t="str" s="73">
        <f>TEXT(D41,"0.0""x""")&amp;" (FY"&amp;RIGHT(E41,2)&amp;")"</f>
        <v>2.0x (FY26)</v>
      </c>
      <c r="P40" t="str" s="73">
        <f>TEXT(G41,"0.0""x""")&amp;" (FY"&amp;RIGHT(H41,2)&amp;")"</f>
        <v>2.0x (FY26)</v>
      </c>
      <c r="Q40" t="str" s="73">
        <f>TEXT(J41,"0.0""x""")&amp;" (FY"&amp;RIGHT(K41,2)&amp;")"</f>
        <v>2.0x (FY26)</v>
      </c>
      <c r="R40" t="str" s="73">
        <f>TEXT(D51,"0.0""x""")&amp;" (FY"&amp;RIGHT(E51,2)&amp;")"</f>
        <v>1.7x (FY28)</v>
      </c>
      <c r="S40" t="str" s="73">
        <f>TEXT(G51,"0.0""x""")&amp;" (FY"&amp;RIGHT(H51,2)&amp;")"</f>
        <v>1.7x (FY28)</v>
      </c>
      <c r="T40" t="str" s="73">
        <f>TEXT(J51,"0.0""x""")&amp;" (FY"&amp;RIGHT(K51,2)&amp;")"</f>
        <v>1.7x (FY28)</v>
      </c>
      <c r="U40" s="166">
        <f>F51</f>
        <v>6.977845296153275</v>
      </c>
      <c r="V40" s="166">
        <f>L51</f>
        <v>8.076132871918615</v>
      </c>
    </row>
    <row r="41">
      <c r="B41" t="s" s="9">
        <v>592</v>
      </c>
      <c r="D41" s="159">
        <f>'Rate Cases'!$G$131</f>
        <v>1.9909755325578997</v>
      </c>
      <c r="E41" s="160">
        <f>'Rate Cases'!$G$132</f>
        <v>2026</v>
      </c>
      <c r="F41" s="161">
        <f>'Rate Cases'!$G$133</f>
        <v>0</v>
      </c>
      <c r="G41" s="100">
        <f>'Rate Cases'!$H$131</f>
        <v>1.9909755325578997</v>
      </c>
      <c r="H41" s="102">
        <f>'Rate Cases'!$H$132</f>
        <v>2026</v>
      </c>
      <c r="I41" s="99">
        <f>'Rate Cases'!$H$133</f>
        <v>0</v>
      </c>
      <c r="J41" s="100">
        <f>'Rate Cases'!$I$131</f>
        <v>1.9666662551219938</v>
      </c>
      <c r="K41" s="102">
        <f>'Rate Cases'!$I$132</f>
        <v>2026</v>
      </c>
      <c r="L41" s="99">
        <f>'Rate Cases'!$I$133</f>
        <v>0</v>
      </c>
      <c r="N41" t="s">
        <v>593</v>
      </c>
      <c r="O41" t="str" s="73">
        <f>TEXT(D42,"0.0""x""")&amp;" (FY"&amp;RIGHT(E42,2)&amp;")"</f>
        <v>1.8x (FY28)</v>
      </c>
      <c r="P41" t="str" s="73">
        <f>TEXT(G42,"0.0""x""")&amp;" (FY"&amp;RIGHT(H42,2)&amp;")"</f>
        <v>1.9x (FY27)</v>
      </c>
      <c r="Q41" t="str" s="73">
        <f>TEXT(J42,"0.0""x""")&amp;" (FY"&amp;RIGHT(K42,2)&amp;")"</f>
        <v>1.9x (FY26)</v>
      </c>
      <c r="R41" t="str" s="73">
        <f>TEXT(D52,"0.0""x""")&amp;" (FY"&amp;RIGHT(E52,2)&amp;")"</f>
        <v>1.5x (FY28)</v>
      </c>
      <c r="S41" t="str" s="73">
        <f>TEXT(G52,"0.0""x""")&amp;" (FY"&amp;RIGHT(H52,2)&amp;")"</f>
        <v>1.6x (FY28)</v>
      </c>
      <c r="T41" t="str" s="73">
        <f>TEXT(J52,"0.0""x""")&amp;" (FY"&amp;RIGHT(K52,2)&amp;")"</f>
        <v>1.6x (FY29)</v>
      </c>
      <c r="U41" s="166">
        <f>F52</f>
        <v>97.54708263434584</v>
      </c>
      <c r="V41" s="166">
        <f>L52</f>
        <v>53.943032734602646</v>
      </c>
    </row>
    <row r="42">
      <c r="B42" t="s" s="9">
        <v>593</v>
      </c>
      <c r="D42" s="100">
        <f>'Rate Cases'!$J$131</f>
        <v>1.793427036437011</v>
      </c>
      <c r="E42" s="102">
        <f>'Rate Cases'!$J$132</f>
        <v>2028</v>
      </c>
      <c r="F42" s="99">
        <f>'Rate Cases'!$J$133</f>
        <v>0.9771420085925562</v>
      </c>
      <c r="G42" s="100">
        <f>'Rate Cases'!$K$131</f>
        <v>1.8918728818106778</v>
      </c>
      <c r="H42" s="102">
        <f>'Rate Cases'!$K$132</f>
        <v>2027</v>
      </c>
      <c r="I42" s="99">
        <f>'Rate Cases'!$K$133</f>
        <v>0.24515166430577073</v>
      </c>
      <c r="J42" s="100">
        <f>'Rate Cases'!$L$131</f>
        <v>1.9160491401998005</v>
      </c>
      <c r="K42" s="102">
        <f>'Rate Cases'!$L$132</f>
        <v>2026</v>
      </c>
      <c r="L42" s="99">
        <f>'Rate Cases'!$L$133</f>
        <v>0</v>
      </c>
      <c r="N42" t="s">
        <v>594</v>
      </c>
      <c r="O42" t="str" s="73">
        <f>TEXT(D43,"0.0""x""")&amp;" (FY"&amp;RIGHT(E43,2)&amp;")"</f>
        <v>1.6x (FY27)</v>
      </c>
      <c r="P42" t="str" s="73">
        <f>TEXT(G43,"0.0""x""")&amp;" (FY"&amp;RIGHT(H43,2)&amp;")"</f>
        <v>1.8x (FY27)</v>
      </c>
      <c r="Q42" t="str" s="73">
        <f>TEXT(J43,"0.0""x""")&amp;" (FY"&amp;RIGHT(K43,2)&amp;")"</f>
        <v>1.8x (FY29)</v>
      </c>
      <c r="R42" t="str" s="73">
        <f>TEXT(D53,"0.0""x""")&amp;" (FY"&amp;RIGHT(E53,2)&amp;")"</f>
        <v>1.3x (FY28)</v>
      </c>
      <c r="S42" t="str" s="73">
        <f>TEXT(G53,"0.0""x""")&amp;" (FY"&amp;RIGHT(H53,2)&amp;")"</f>
        <v>1.5x (FY29)</v>
      </c>
      <c r="T42" t="str" s="73">
        <f>TEXT(J53,"0.0""x""")&amp;" (FY"&amp;RIGHT(K53,2)&amp;")"</f>
        <v>1.5x (FY29)</v>
      </c>
      <c r="U42" s="166">
        <f>F53</f>
        <v>257.65161689913225</v>
      </c>
      <c r="V42" s="166">
        <f>L53</f>
        <v>149.00402841130563</v>
      </c>
    </row>
    <row r="43">
      <c r="B43" t="s" s="9">
        <v>594</v>
      </c>
      <c r="D43" s="100">
        <f>'Rate Cases'!$M$131</f>
        <v>1.5854768821187102</v>
      </c>
      <c r="E43" s="102">
        <f>'Rate Cases'!$M$132</f>
        <v>2027</v>
      </c>
      <c r="F43" s="99">
        <f>'Rate Cases'!$M$133</f>
        <v>32.92059572769243</v>
      </c>
      <c r="G43" s="100">
        <f>'Rate Cases'!$N$131</f>
        <v>1.7672697606910586</v>
      </c>
      <c r="H43" s="102">
        <f>'Rate Cases'!$N$132</f>
        <v>2027</v>
      </c>
      <c r="I43" s="99">
        <f>'Rate Cases'!$N$133</f>
        <v>2.4934953838876734</v>
      </c>
      <c r="J43" s="100">
        <f>'Rate Cases'!$O$131</f>
        <v>1.7941387936310533</v>
      </c>
      <c r="K43" s="102">
        <f>'Rate Cases'!$O$132</f>
        <v>2029</v>
      </c>
      <c r="L43" s="99">
        <f>'Rate Cases'!$O$133</f>
        <v>1.9107286793462461</v>
      </c>
      <c r="N43" t="s">
        <v>595</v>
      </c>
      <c r="O43" t="str" s="73">
        <f>TEXT(D44,"0.0""x""")&amp;" (FY"&amp;RIGHT(E44,2)&amp;")"</f>
        <v>2.0x (FY26)</v>
      </c>
      <c r="P43" t="str" s="73">
        <f>TEXT(G44,"0.0""x""")&amp;" (FY"&amp;RIGHT(H44,2)&amp;")"</f>
        <v>2.0x (FY26)</v>
      </c>
      <c r="Q43" t="str" s="73">
        <f>TEXT(J44,"0.0""x""")&amp;" (FY"&amp;RIGHT(K44,2)&amp;")"</f>
        <v>2.0x (FY26)</v>
      </c>
      <c r="R43" t="str" s="73">
        <f>TEXT(D54,"0.0""x""")&amp;" (FY"&amp;RIGHT(E54,2)&amp;")"</f>
        <v>1.7x (FY28)</v>
      </c>
      <c r="S43" t="str" s="73">
        <f>TEXT(G54,"0.0""x""")&amp;" (FY"&amp;RIGHT(H54,2)&amp;")"</f>
        <v>1.7x (FY28)</v>
      </c>
      <c r="T43" t="str" s="73">
        <f>TEXT(J54,"0.0""x""")&amp;" (FY"&amp;RIGHT(K54,2)&amp;")"</f>
        <v>1.7x (FY28)</v>
      </c>
      <c r="U43" s="166">
        <f>F54</f>
        <v>7.683663902683248</v>
      </c>
      <c r="V43" s="166">
        <f>L54</f>
        <v>8.076132871918615</v>
      </c>
    </row>
    <row r="44">
      <c r="B44" t="s" s="9">
        <v>595</v>
      </c>
      <c r="D44" s="100">
        <f>'Rate Cases'!$P$131</f>
        <v>1.9909755325578997</v>
      </c>
      <c r="E44" s="102">
        <f>'Rate Cases'!$P$132</f>
        <v>2026</v>
      </c>
      <c r="F44" s="99">
        <f>'Rate Cases'!$P$133</f>
        <v>0</v>
      </c>
      <c r="G44" s="100">
        <f>'Rate Cases'!$Q$131</f>
        <v>1.9909755325578997</v>
      </c>
      <c r="H44" s="102">
        <f>'Rate Cases'!$Q$132</f>
        <v>2026</v>
      </c>
      <c r="I44" s="99">
        <f>'Rate Cases'!$Q$133</f>
        <v>0</v>
      </c>
      <c r="J44" s="100">
        <f>'Rate Cases'!$R$131</f>
        <v>1.9666662551219938</v>
      </c>
      <c r="K44" s="102">
        <f>'Rate Cases'!$R$132</f>
        <v>2026</v>
      </c>
      <c r="L44" s="99">
        <f>'Rate Cases'!$R$133</f>
        <v>0</v>
      </c>
    </row>
    <row r="47">
      <c r="B47" t="s" s="34">
        <v>733</v>
      </c>
      <c r="C47" s="34"/>
      <c r="D47" s="34"/>
      <c r="E47" s="34"/>
      <c r="F47" s="34"/>
      <c r="G47" s="34"/>
      <c r="H47" s="34"/>
      <c r="I47" s="34"/>
      <c r="J47" s="34"/>
      <c r="K47" s="34"/>
      <c r="L47" s="34"/>
    </row>
    <row r="48">
      <c r="D48" t="s" s="36">
        <v>685</v>
      </c>
      <c r="E48" s="36"/>
      <c r="F48" s="36"/>
      <c r="G48" t="s" s="36">
        <v>736</v>
      </c>
      <c r="H48" s="36"/>
      <c r="I48" s="36"/>
      <c r="J48" t="s" s="36">
        <v>737</v>
      </c>
      <c r="K48" s="36"/>
      <c r="L48" s="36"/>
    </row>
    <row r="49">
      <c r="B49" t="s" s="111">
        <v>615</v>
      </c>
      <c r="C49" s="109"/>
      <c r="D49" t="s" s="109">
        <v>734</v>
      </c>
      <c r="E49" t="s" s="109">
        <v>735</v>
      </c>
      <c r="F49" t="s" s="109">
        <v>294</v>
      </c>
      <c r="G49" t="s" s="109">
        <v>734</v>
      </c>
      <c r="H49" t="s" s="109">
        <v>735</v>
      </c>
      <c r="I49" t="s" s="109">
        <v>294</v>
      </c>
      <c r="J49" t="s" s="109">
        <v>734</v>
      </c>
      <c r="K49" t="s" s="109">
        <v>735</v>
      </c>
      <c r="L49" t="s" s="109">
        <v>294</v>
      </c>
    </row>
    <row r="50">
      <c r="B50" t="s" s="9">
        <v>732</v>
      </c>
      <c r="D50" s="100">
        <f>'Rate Cases'!$D$148</f>
        <v>1.9558069930890059</v>
      </c>
      <c r="E50" s="102">
        <f>'Rate Cases'!$D$149</f>
        <v>2026</v>
      </c>
      <c r="F50" s="99">
        <f>'Rate Cases'!$D$150</f>
        <v>2.809493263307547</v>
      </c>
      <c r="G50" s="100">
        <f>'Rate Cases'!$E$148</f>
        <v>1.9558069930890052</v>
      </c>
      <c r="H50" s="102">
        <f>'Rate Cases'!$E$149</f>
        <v>2026</v>
      </c>
      <c r="I50" s="99">
        <f>'Rate Cases'!$E$150</f>
        <v>2.8094932633093572</v>
      </c>
      <c r="J50" s="100">
        <f>'Rate Cases'!$F$148</f>
        <v>1.8779411272800393</v>
      </c>
      <c r="K50" s="102">
        <f>'Rate Cases'!$F$149</f>
        <v>2028</v>
      </c>
      <c r="L50" s="99">
        <f>'Rate Cases'!$F$150</f>
        <v>5.167769538789637</v>
      </c>
    </row>
    <row r="51">
      <c r="B51" t="s" s="9">
        <v>592</v>
      </c>
      <c r="D51" s="159">
        <f>'Rate Cases'!$G$148</f>
        <v>1.7290277916117678</v>
      </c>
      <c r="E51" s="160">
        <f>'Rate Cases'!$G$149</f>
        <v>2028</v>
      </c>
      <c r="F51" s="161">
        <f>'Rate Cases'!$G$150</f>
        <v>6.977845296153275</v>
      </c>
      <c r="G51" s="100">
        <f>'Rate Cases'!$H$148</f>
        <v>1.7290277916103982</v>
      </c>
      <c r="H51" s="102">
        <f>'Rate Cases'!$H$149</f>
        <v>2028</v>
      </c>
      <c r="I51" s="99">
        <f>'Rate Cases'!$H$150</f>
        <v>6.977845296153275</v>
      </c>
      <c r="J51" s="100">
        <f>'Rate Cases'!$I$148</f>
        <v>1.7377931687413368</v>
      </c>
      <c r="K51" s="102">
        <f>'Rate Cases'!$I$149</f>
        <v>2028</v>
      </c>
      <c r="L51" s="99">
        <f>'Rate Cases'!$I$150</f>
        <v>8.076132871918615</v>
      </c>
    </row>
    <row r="52">
      <c r="B52" t="s" s="9">
        <v>593</v>
      </c>
      <c r="D52" s="100">
        <f>'Rate Cases'!$J$148</f>
        <v>1.5143472883420017</v>
      </c>
      <c r="E52" s="102">
        <f>'Rate Cases'!$J$149</f>
        <v>2028</v>
      </c>
      <c r="F52" s="99">
        <f>'Rate Cases'!$J$150</f>
        <v>97.54708263434584</v>
      </c>
      <c r="G52" s="100">
        <f>'Rate Cases'!$K$148</f>
        <v>1.5947708995053949</v>
      </c>
      <c r="H52" s="102">
        <f>'Rate Cases'!$K$149</f>
        <v>2028</v>
      </c>
      <c r="I52" s="99">
        <f>'Rate Cases'!$K$150</f>
        <v>64.4106791289799</v>
      </c>
      <c r="J52" s="100">
        <f>'Rate Cases'!$L$148</f>
        <v>1.6181572209123698</v>
      </c>
      <c r="K52" s="102">
        <f>'Rate Cases'!$L$149</f>
        <v>2029</v>
      </c>
      <c r="L52" s="99">
        <f>'Rate Cases'!$L$150</f>
        <v>53.943032734602646</v>
      </c>
    </row>
    <row r="53">
      <c r="B53" t="s" s="9">
        <v>594</v>
      </c>
      <c r="D53" s="100">
        <f>'Rate Cases'!$M$148</f>
        <v>1.342178497449005</v>
      </c>
      <c r="E53" s="102">
        <f>'Rate Cases'!$M$149</f>
        <v>2028</v>
      </c>
      <c r="F53" s="99">
        <f>'Rate Cases'!$M$150</f>
        <v>257.65161689913225</v>
      </c>
      <c r="G53" s="100">
        <f>'Rate Cases'!$N$148</f>
        <v>1.4590127790071123</v>
      </c>
      <c r="H53" s="102">
        <f>'Rate Cases'!$N$149</f>
        <v>2029</v>
      </c>
      <c r="I53" s="99">
        <f>'Rate Cases'!$N$150</f>
        <v>162.12834556206036</v>
      </c>
      <c r="J53" s="100">
        <f>'Rate Cases'!$O$148</f>
        <v>1.471380007563563</v>
      </c>
      <c r="K53" s="102">
        <f>'Rate Cases'!$O$149</f>
        <v>2029</v>
      </c>
      <c r="L53" s="99">
        <f>'Rate Cases'!$O$150</f>
        <v>149.00402841130563</v>
      </c>
    </row>
    <row r="54">
      <c r="B54" t="s" s="9">
        <v>595</v>
      </c>
      <c r="D54" s="100">
        <f>'Rate Cases'!$P$148</f>
        <v>1.71477738271402</v>
      </c>
      <c r="E54" s="102">
        <f>'Rate Cases'!$P$149</f>
        <v>2028</v>
      </c>
      <c r="F54" s="99">
        <f>'Rate Cases'!$P$150</f>
        <v>7.683663902683248</v>
      </c>
      <c r="G54" s="100">
        <f>'Rate Cases'!$Q$148</f>
        <v>1.7147773827140254</v>
      </c>
      <c r="H54" s="102">
        <f>'Rate Cases'!$Q$149</f>
        <v>2028</v>
      </c>
      <c r="I54" s="99">
        <f>'Rate Cases'!$Q$150</f>
        <v>7.683663902674247</v>
      </c>
      <c r="J54" s="100">
        <f>'Rate Cases'!$R$148</f>
        <v>1.7303671396946334</v>
      </c>
      <c r="K54" s="102">
        <f>'Rate Cases'!$R$149</f>
        <v>2028</v>
      </c>
      <c r="L54" s="99">
        <f>'Rate Cases'!$R$150</f>
        <v>8.076132871918615</v>
      </c>
    </row>
  </sheetData>
  <pageMargins left="0.7" right="0.7" top="0.75" bottom="0.75" header="0.3" footer="0.3"/>
</worksheet>
</file>

<file path=ccalc/calcState.xml><?xml version="1.0" encoding="utf-8"?>
<calcState xmlns="urn:twentyai:ccalc:calc-state" version="1" digest="88bfdc410ce0e931f4883849b32a4a10bb3580c54e516f99d86c45a2d37aee84"/>
</file>

<file path=docProps/app.xml><?xml version="1.0" encoding="utf-8"?>
<Properties xmlns="http://schemas.openxmlformats.org/officeDocument/2006/extended-properties" xmlns:vt="http://schemas.openxmlformats.org/officeDocument/2006/docPropsVTypes">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2026-10-22T03:51:11Z</dcterms:created>
  <dcterms:modified xsi:type="dcterms:W3CDTF">2026-10-22T03:51:11Z</dcterms:modified>
  <cp:category/>
  <cp:contentStatus/>
</cp:coreProperties>
</file>