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bookViews>
    <workbookView activeTab="1"/>
  </bookViews>
  <sheets>
    <sheet name="Assumptions" sheetId="10" r:id="rId1"/>
    <sheet name="IS" sheetId="16" r:id="rId2"/>
    <sheet name="BS" sheetId="17" r:id="rId3"/>
    <sheet name="CFS" sheetId="18" r:id="rId4"/>
  </sheets>
  <calcPr iterate="1" iterateCount="200" iterateDelta="0.0001"/>
  <extLst>
    <ext xmlns:xccaches="urn:twentyai:ccalc:caches" uri="{3C5F2E7A-9B41-4D6E-A8C2-19409CCA1C01}">
      <xccaches:writer/>
    </ext>
  </extLst>
</workbook>
</file>

<file path=xl/comments1.xml><?xml version="1.0" encoding="utf-8"?>
<comments xmlns="http://schemas.openxmlformats.org/spreadsheetml/2006/main">
  <authors>
    <author>Compound</author>
  </authors>
  <commentList>
    <comment ref="C123" authorId="0">
      <text>
        <r>
          <t xml:space="preserve">CWAN DEFM14A Definitive Merger Proxy (filed 2026-04-08) p. 79</t>
        </r>
      </text>
    </comment>
    <comment ref="C197" authorId="0">
      <text>
        <r>
          <t xml:space="preserve">CWAN 10-K FY2022 (filed 2023-03-03) p. 102</t>
        </r>
      </text>
    </comment>
    <comment ref="C198" authorId="0">
      <text>
        <r>
          <t xml:space="preserve">CWAN 10-K FY2024 (filed 2025-02-26) p. 129</t>
        </r>
      </text>
    </comment>
    <comment ref="C199" authorId="0">
      <text>
        <r>
          <t xml:space="preserve">CWAN 10-K FY2025 (filed 2026-02-18) p. 125</t>
        </r>
      </text>
    </comment>
    <comment ref="C200" authorId="0">
      <text>
        <r>
          <t xml:space="preserve">CWAN 10-K FY2025 (filed 2026-02-18) p. 120</t>
        </r>
      </text>
    </comment>
    <comment ref="C201" authorId="0">
      <text>
        <r>
          <t xml:space="preserve">CWAN 10-K FY2025 (filed 2026-02-18) p. 122</t>
        </r>
      </text>
    </comment>
    <comment ref="D200" authorId="0">
      <text>
        <r>
          <t xml:space="preserve">CWAN 10-K FY2025 (filed 2026-02-18) p. 120</t>
        </r>
      </text>
    </comment>
    <comment ref="D201" authorId="0">
      <text>
        <r>
          <t xml:space="preserve">CWAN 10-K FY2025 (filed 2026-02-18) p. 122</t>
        </r>
      </text>
    </comment>
    <comment ref="D206" authorId="0">
      <text>
        <r>
          <t xml:space="preserve">CWAN 10-K FY2022 (filed 2023-03-03) p. 102</t>
        </r>
      </text>
    </comment>
    <comment ref="F200" authorId="0">
      <text>
        <r>
          <t xml:space="preserve">Cited for E200:F200
CWAN 10-K FY2025 (filed 2026-02-18) p. 120</t>
        </r>
      </text>
    </comment>
    <comment ref="F201" authorId="0">
      <text>
        <r>
          <t xml:space="preserve">Cited for E201:F201
CWAN 10-K FY2025 (filed 2026-02-18) p. 123</t>
        </r>
      </text>
    </comment>
    <comment ref="G200" authorId="0">
      <text>
        <r>
          <t xml:space="preserve">SC 13E-3 exhibit (c)(ii), special committee fairness materials (2025-12-20) p. 10</t>
        </r>
      </text>
    </comment>
    <comment ref="G201" authorId="0">
      <text>
        <r>
          <t xml:space="preserve">CWAN Press Release - Beacon and Bistro (2025-03-12) p. 4</t>
        </r>
      </text>
    </comment>
    <comment ref="H75" authorId="0">
      <text>
        <r>
          <t xml:space="preserve">Cited for D75:H75
SC 13E-3 exhibit (c)(ii), special committee fairness materials (2025-12-20) p. 15</t>
        </r>
      </text>
    </comment>
    <comment ref="H84" authorId="0">
      <text>
        <r>
          <t xml:space="preserve">Cited for D84:H84
SC 13E-3 exhibit (c)(ii), special committee fairness materials (2025-12-20) p. 15</t>
        </r>
      </text>
    </comment>
    <comment ref="H87" authorId="0">
      <text>
        <r>
          <t xml:space="preserve">Cited for D87:H87
SC 13E-3 exhibit (c)(ii), special committee fairness materials (2025-12-20) p. 15</t>
        </r>
      </text>
    </comment>
    <comment ref="H90" authorId="0">
      <text>
        <r>
          <t xml:space="preserve">Cited for D90:H90
SC 13E-3 exhibit (c)(ii), special committee fairness materials (2025-12-20) p. 15</t>
        </r>
      </text>
    </comment>
  </commentList>
</comments>
</file>

<file path=xl/comments2.xml><?xml version="1.0" encoding="utf-8"?>
<comments xmlns="http://schemas.openxmlformats.org/spreadsheetml/2006/main">
  <authors>
    <author>Compound</author>
  </authors>
  <commentList>
    <comment ref="C106" authorId="0">
      <text>
        <r>
          <t xml:space="preserve">CWAN 10-K FY2022 (filed 2023-03-03) p. 67</t>
        </r>
      </text>
    </comment>
    <comment ref="C13" authorId="0">
      <text>
        <r>
          <t xml:space="preserve">CWAN 10-K FY2022 (filed 2023-03-03) p. 64</t>
        </r>
      </text>
    </comment>
    <comment ref="C33" authorId="0">
      <text>
        <r>
          <t xml:space="preserve">CWAN 10-K FY2023 (filed 2024-02-29) p. 108</t>
        </r>
      </text>
    </comment>
    <comment ref="C48" authorId="0">
      <text>
        <r>
          <t xml:space="preserve">CWAN 10-K FY2021 (filed 2022-03-16) p. 16</t>
        </r>
      </text>
    </comment>
    <comment ref="C52" authorId="0">
      <text>
        <r>
          <t xml:space="preserve">CWAN 10-K FY2021 (filed 2022-03-16) p. 16</t>
        </r>
      </text>
    </comment>
    <comment ref="C54" authorId="0">
      <text>
        <r>
          <t xml:space="preserve">CWAN Earnings Release FY2022 Q4 (issued 2023-02-21) p. 14</t>
        </r>
      </text>
    </comment>
    <comment ref="C58" authorId="0">
      <text>
        <r>
          <t xml:space="preserve">CWAN 10-K FY2023 (filed 2024-02-29) p. 108</t>
        </r>
      </text>
    </comment>
    <comment ref="C98" authorId="0">
      <text>
        <r>
          <t xml:space="preserve">CWAN 10-K FY2023 (filed 2024-02-29) p. 108</t>
        </r>
      </text>
    </comment>
    <comment ref="D106" authorId="0">
      <text>
        <r>
          <t xml:space="preserve">CWAN 10-K FY2024 (filed 2025-02-26) p. 79</t>
        </r>
      </text>
    </comment>
    <comment ref="D23" authorId="0">
      <text>
        <r>
          <t xml:space="preserve">Cited for C23:D23
CWAN 10-K FY2022 (filed 2023-03-03) p. 64</t>
        </r>
      </text>
    </comment>
    <comment ref="D25" authorId="0">
      <text>
        <r>
          <t xml:space="preserve">Cited for C25:D26
CWAN 10-K FY2022 (filed 2023-03-03) p. 64</t>
        </r>
      </text>
    </comment>
    <comment ref="D33" authorId="0">
      <text>
        <r>
          <t xml:space="preserve">CWAN 10-K FY2024 (filed 2025-02-26) p. 103</t>
        </r>
      </text>
    </comment>
    <comment ref="D37" authorId="0">
      <text>
        <r>
          <t xml:space="preserve">CWAN 10-K FY2022 (filed 2023-03-03) p. 103</t>
        </r>
      </text>
    </comment>
    <comment ref="D45" authorId="0">
      <text>
        <r>
          <t xml:space="preserve">Cited for C45:D45
CWAN Earnings Release FY2022 Q4 (issued 2023-02-21) p. 14</t>
        </r>
      </text>
    </comment>
    <comment ref="D48" authorId="0">
      <text>
        <r>
          <t xml:space="preserve">CWAN 10-K FY2022 (filed 2023-03-03) p. 21</t>
        </r>
      </text>
    </comment>
    <comment ref="D50" authorId="0">
      <text>
        <r>
          <t xml:space="preserve">Cited for C50:D50
CWAN Earnings Release FY2022 Q4 (issued 2023-02-21) p. 14</t>
        </r>
      </text>
    </comment>
    <comment ref="D52" authorId="0">
      <text>
        <r>
          <t xml:space="preserve">CWAN 10-K FY2022 (filed 2023-03-03) p. 21</t>
        </r>
      </text>
    </comment>
    <comment ref="D58" authorId="0">
      <text>
        <r>
          <t xml:space="preserve">CWAN 10-K FY2024 (filed 2025-02-26) p. 103</t>
        </r>
      </text>
    </comment>
    <comment ref="D98" authorId="0">
      <text>
        <r>
          <t xml:space="preserve">CWAN 10-K FY2024 (filed 2025-02-26) p. 103</t>
        </r>
      </text>
    </comment>
    <comment ref="E48" authorId="0">
      <text>
        <r>
          <t xml:space="preserve">CWAN 10-K FY2023 (filed 2024-02-29) p. 25</t>
        </r>
      </text>
    </comment>
    <comment ref="E52" authorId="0">
      <text>
        <r>
          <t xml:space="preserve">CWAN 10-K FY2023 (filed 2024-02-29) p. 25</t>
        </r>
      </text>
    </comment>
    <comment ref="F45" authorId="0">
      <text>
        <r>
          <t xml:space="preserve">Cited for E45:F45
CWAN Earnings Release FY2024 Q4 (issued 2025-02-19) p. 13</t>
        </r>
      </text>
    </comment>
    <comment ref="F48" authorId="0">
      <text>
        <r>
          <t xml:space="preserve">CWAN 10-K FY2024 (filed 2025-02-26) p. 25</t>
        </r>
      </text>
    </comment>
    <comment ref="F50" authorId="0">
      <text>
        <r>
          <t xml:space="preserve">Cited for E50:F50
CWAN Earnings Release FY2024 Q4 (issued 2025-02-19) p. 13</t>
        </r>
      </text>
    </comment>
    <comment ref="F52" authorId="0">
      <text>
        <r>
          <t xml:space="preserve">CWAN 10-K FY2024 (filed 2025-02-26) p. 25</t>
        </r>
      </text>
    </comment>
    <comment ref="G106" authorId="0">
      <text>
        <r>
          <t xml:space="preserve">Cited for E106:G106
CWAN 10-K FY2025 (filed 2026-02-18) p. 73</t>
        </r>
      </text>
    </comment>
    <comment ref="G112" authorId="0">
      <text>
        <r>
          <t xml:space="preserve">Cited for F112:G112
CWAN 10-K FY2025 (filed 2026-02-18) p. 125</t>
        </r>
      </text>
    </comment>
    <comment ref="G20" authorId="0">
      <text>
        <r>
          <t xml:space="preserve">CWAN 10-K FY2025 (filed 2026-02-18) p. 71</t>
        </r>
      </text>
    </comment>
    <comment ref="G22" authorId="0">
      <text>
        <r>
          <t xml:space="preserve">CWAN 10-K FY2025 (filed 2026-02-18) p. 71</t>
        </r>
      </text>
    </comment>
    <comment ref="G26" authorId="0">
      <text>
        <r>
          <t xml:space="preserve">CWAN 10-K FY2025 (filed 2026-02-18) p. 72</t>
        </r>
      </text>
    </comment>
    <comment ref="G33" authorId="0">
      <text>
        <r>
          <t xml:space="preserve">Cited for E33:G33
CWAN 10-K FY2025 (filed 2026-02-18) p. 98</t>
        </r>
      </text>
    </comment>
    <comment ref="G40" authorId="0">
      <text>
        <r>
          <t xml:space="preserve">CWAN 10-K FY2025 (filed 2026-02-18) p. 122</t>
        </r>
      </text>
    </comment>
    <comment ref="G41" authorId="0">
      <text>
        <r>
          <t xml:space="preserve">CWAN 10-K FY2025 (filed 2026-02-18) p. 123</t>
        </r>
      </text>
    </comment>
    <comment ref="G45" authorId="0">
      <text>
        <r>
          <t xml:space="preserve">CWAN Earnings Release FY2025 Q4 (issued 2026-02-18) p. 11</t>
        </r>
      </text>
    </comment>
    <comment ref="G48" authorId="0">
      <text>
        <r>
          <t xml:space="preserve">CWAN 10-K FY2025 (filed 2026-02-18) p. 25</t>
        </r>
      </text>
    </comment>
    <comment ref="G50" authorId="0">
      <text>
        <r>
          <t xml:space="preserve">CWAN Earnings Release FY2025 Q4 (issued 2026-02-18) p. 11</t>
        </r>
      </text>
    </comment>
    <comment ref="G52" authorId="0">
      <text>
        <r>
          <t xml:space="preserve">CWAN 10-K FY2025 (filed 2026-02-18) p. 25</t>
        </r>
      </text>
    </comment>
    <comment ref="G58" authorId="0">
      <text>
        <r>
          <t xml:space="preserve">Cited for E58:G58
CWAN 10-K FY2025 (filed 2026-02-18) p. 98</t>
        </r>
      </text>
    </comment>
    <comment ref="G98" authorId="0">
      <text>
        <r>
          <t xml:space="preserve">Cited for E98:G98
CWAN 10-K FY2025 (filed 2026-02-18) p. 98</t>
        </r>
      </text>
    </comment>
    <comment ref="H23" authorId="0">
      <text>
        <r>
          <t xml:space="preserve">Cited for E23:H23
CWAN 10-K FY2025 (filed 2026-02-18) p. 71</t>
        </r>
      </text>
    </comment>
    <comment ref="H25" authorId="0">
      <text>
        <r>
          <t xml:space="preserve">Cited for 7 cells in E25:H26
CWAN 10-K FY2025 (filed 2026-02-18) p. 72</t>
        </r>
      </text>
    </comment>
    <comment ref="H54" authorId="0">
      <text>
        <r>
          <t xml:space="preserve">CWAN Earnings Release FY2026 Q1 (issued 2026-05-07) p. 11</t>
        </r>
      </text>
    </comment>
    <comment ref="I23" authorId="0">
      <text>
        <r>
          <t xml:space="preserve">CWAN 10-Q FY2026 Q1 (filed 2026-05-07) p. 37</t>
        </r>
      </text>
    </comment>
    <comment ref="I25" authorId="0">
      <text>
        <r>
          <t xml:space="preserve">CWAN 10-Q FY2026 Q1 (filed 2026-05-07) p. 37</t>
        </r>
      </text>
    </comment>
    <comment ref="I26" authorId="0">
      <text>
        <r>
          <t xml:space="preserve">CWAN 10-Q FY2026 Q1 (filed 2026-05-07) p. 38</t>
        </r>
      </text>
    </comment>
    <comment ref="I33" authorId="0">
      <text>
        <r>
          <t xml:space="preserve">Cited for H33:I33
CWAN 10-Q FY2026 Q1 (filed 2026-05-07) p. 10</t>
        </r>
      </text>
    </comment>
    <comment ref="I45" authorId="0">
      <text>
        <r>
          <t xml:space="preserve">Cited for H45:I45
CWAN Earnings Release FY2026 Q1 (issued 2026-05-07) p. 11</t>
        </r>
      </text>
    </comment>
    <comment ref="I50" authorId="0">
      <text>
        <r>
          <t xml:space="preserve">Cited for H50:I50
CWAN Earnings Release FY2026 Q1 (issued 2026-05-07) p. 11</t>
        </r>
      </text>
    </comment>
    <comment ref="I56" authorId="0">
      <text>
        <r>
          <t xml:space="preserve">Cited for H56:I56
CWAN Earnings Release FY2026 Q1 (issued 2026-05-07) p. 11</t>
        </r>
      </text>
    </comment>
    <comment ref="I58" authorId="0">
      <text>
        <r>
          <t xml:space="preserve">Cited for H58:I58
CWAN 10-Q FY2026 Q1 (filed 2026-05-07) p. 10</t>
        </r>
      </text>
    </comment>
    <comment ref="I98" authorId="0">
      <text>
        <r>
          <t xml:space="preserve">Cited for H98:I98
CWAN 10-Q FY2026 Q1 (filed 2026-05-07) p. 10</t>
        </r>
      </text>
    </comment>
  </commentList>
</comments>
</file>

<file path=xl/comments3.xml><?xml version="1.0" encoding="utf-8"?>
<comments xmlns="http://schemas.openxmlformats.org/spreadsheetml/2006/main">
  <authors>
    <author>Compound</author>
  </authors>
  <commentList>
    <comment ref="C11" authorId="0">
      <text>
        <r>
          <t xml:space="preserve">CWAN 10-K FY2022 (filed 2023-03-03) p. 84</t>
        </r>
      </text>
    </comment>
    <comment ref="C14" authorId="0">
      <text>
        <r>
          <t xml:space="preserve">CWAN 10-K FY2022 (filed 2023-03-03) p. 84</t>
        </r>
      </text>
    </comment>
    <comment ref="C16" authorId="0">
      <text>
        <r>
          <t xml:space="preserve">CWAN 10-K FY2022 (filed 2023-03-03) p. 84</t>
        </r>
      </text>
    </comment>
    <comment ref="C18" authorId="0">
      <text>
        <r>
          <t xml:space="preserve">CWAN 10-K FY2022 (filed 2023-03-03) p. 84</t>
        </r>
      </text>
    </comment>
    <comment ref="C25" authorId="0">
      <text>
        <r>
          <t xml:space="preserve">CWAN 10-K FY2022 (filed 2023-03-03) p. 84</t>
        </r>
      </text>
    </comment>
    <comment ref="C26" authorId="0">
      <text>
        <r>
          <t xml:space="preserve">CWAN 10-K FY2022 (filed 2023-03-03) p. 84</t>
        </r>
      </text>
    </comment>
    <comment ref="C28" authorId="0">
      <text>
        <r>
          <t xml:space="preserve">CWAN 10-K FY2022 (filed 2023-03-03) p. 84</t>
        </r>
      </text>
    </comment>
    <comment ref="C32" authorId="0">
      <text>
        <r>
          <t xml:space="preserve">CWAN 10-K FY2022 (filed 2023-03-03) p. 84</t>
        </r>
      </text>
    </comment>
    <comment ref="C34" authorId="0">
      <text>
        <r>
          <t xml:space="preserve">CWAN 10-K FY2022 (filed 2023-03-03) p. 84</t>
        </r>
      </text>
    </comment>
    <comment ref="C37" authorId="0">
      <text>
        <r>
          <t xml:space="preserve">CWAN 10-K FY2022 (filed 2023-03-03) p. 84</t>
        </r>
      </text>
    </comment>
    <comment ref="C38" authorId="0">
      <text>
        <r>
          <t xml:space="preserve">CWAN 10-K FY2022 (filed 2023-03-03) p. 84</t>
        </r>
      </text>
    </comment>
    <comment ref="C39" authorId="0">
      <text>
        <r>
          <t xml:space="preserve">CWAN 10-K FY2022 (filed 2023-03-03) p. 84</t>
        </r>
      </text>
    </comment>
    <comment ref="C40" authorId="0">
      <text>
        <r>
          <t xml:space="preserve">CWAN 10-K FY2022 (filed 2023-03-03) p. 84</t>
        </r>
      </text>
    </comment>
    <comment ref="C41" authorId="0">
      <text>
        <r>
          <t xml:space="preserve">CWAN 10-K FY2022 (filed 2023-03-03) p. 84</t>
        </r>
      </text>
    </comment>
    <comment ref="C47" authorId="0">
      <text>
        <r>
          <t xml:space="preserve">CWAN 10-K FY2022 (filed 2023-03-03) p. 84</t>
        </r>
      </text>
    </comment>
    <comment ref="C49" authorId="0">
      <text>
        <r>
          <t xml:space="preserve">CWAN 10-K FY2022 (filed 2023-03-03) p. 84</t>
        </r>
      </text>
    </comment>
    <comment ref="C9" authorId="0">
      <text>
        <r>
          <t xml:space="preserve">CWAN 10-K FY2022 (filed 2023-03-03) p. 84</t>
        </r>
      </text>
    </comment>
    <comment ref="E10" authorId="0">
      <text>
        <r>
          <t xml:space="preserve">Cited for D10:E10
CWAN 10-K FY2023 (filed 2024-02-29) p. 106</t>
        </r>
      </text>
    </comment>
    <comment ref="E11" authorId="0">
      <text>
        <r>
          <t xml:space="preserve">Cited for D11:E11
CWAN 10-K FY2023 (filed 2024-02-29) p. 106</t>
        </r>
      </text>
    </comment>
    <comment ref="E14" authorId="0">
      <text>
        <r>
          <t xml:space="preserve">Cited for D14:E14
CWAN 10-K FY2023 (filed 2024-02-29) p. 106</t>
        </r>
      </text>
    </comment>
    <comment ref="E15" authorId="0">
      <text>
        <r>
          <t xml:space="preserve">Cited for D15:E15
CWAN 10-K FY2023 (filed 2024-02-29) p. 106</t>
        </r>
      </text>
    </comment>
    <comment ref="E16" authorId="0">
      <text>
        <r>
          <t xml:space="preserve">Cited for D16:E16
CWAN 10-K FY2023 (filed 2024-02-29) p. 106</t>
        </r>
      </text>
    </comment>
    <comment ref="E18" authorId="0">
      <text>
        <r>
          <t xml:space="preserve">Cited for D18:E18
CWAN 10-K FY2023 (filed 2024-02-29) p. 106</t>
        </r>
      </text>
    </comment>
    <comment ref="E19" authorId="0">
      <text>
        <r>
          <t xml:space="preserve">Cited for D19:E19
CWAN 10-K FY2023 (filed 2024-02-29) p. 106</t>
        </r>
      </text>
    </comment>
    <comment ref="E20" authorId="0">
      <text>
        <r>
          <t xml:space="preserve">Cited for D20:E20
CWAN 10-K FY2023 (filed 2024-02-29) p. 106</t>
        </r>
      </text>
    </comment>
    <comment ref="E21" authorId="0">
      <text>
        <r>
          <t xml:space="preserve">Cited for D21:E21
CWAN 10-K FY2023 (filed 2024-02-29) p. 106</t>
        </r>
      </text>
    </comment>
    <comment ref="E25" authorId="0">
      <text>
        <r>
          <t xml:space="preserve">Cited for D25:E25
CWAN 10-K FY2023 (filed 2024-02-29) p. 106</t>
        </r>
      </text>
    </comment>
    <comment ref="E26" authorId="0">
      <text>
        <r>
          <t xml:space="preserve">Cited for D26:E26
CWAN 10-K FY2023 (filed 2024-02-29) p. 106</t>
        </r>
      </text>
    </comment>
    <comment ref="E28" authorId="0">
      <text>
        <r>
          <t xml:space="preserve">Cited for D28:E28
CWAN 10-K FY2023 (filed 2024-02-29) p. 106</t>
        </r>
      </text>
    </comment>
    <comment ref="E29" authorId="0">
      <text>
        <r>
          <t xml:space="preserve">Cited for D29:E29
CWAN 10-K FY2023 (filed 2024-02-29) p. 106</t>
        </r>
      </text>
    </comment>
    <comment ref="E30" authorId="0">
      <text>
        <r>
          <t xml:space="preserve">Cited for D30:E30
CWAN 10-K FY2023 (filed 2024-02-29) p. 106</t>
        </r>
      </text>
    </comment>
    <comment ref="E32" authorId="0">
      <text>
        <r>
          <t xml:space="preserve">Cited for D32:E32
CWAN 10-K FY2023 (filed 2024-02-29) p. 106</t>
        </r>
      </text>
    </comment>
    <comment ref="E33" authorId="0">
      <text>
        <r>
          <t xml:space="preserve">Cited for D33:E33
CWAN 10-K FY2023 (filed 2024-02-29) p. 106</t>
        </r>
      </text>
    </comment>
    <comment ref="E34" authorId="0">
      <text>
        <r>
          <t xml:space="preserve">Cited for D34:E34
CWAN 10-K FY2023 (filed 2024-02-29) p. 106</t>
        </r>
      </text>
    </comment>
    <comment ref="E37" authorId="0">
      <text>
        <r>
          <t xml:space="preserve">Cited for D37:E37
CWAN 10-K FY2023 (filed 2024-02-29) p. 106</t>
        </r>
      </text>
    </comment>
    <comment ref="E38" authorId="0">
      <text>
        <r>
          <t xml:space="preserve">Cited for D38:E38
CWAN 10-K FY2023 (filed 2024-02-29) p. 106</t>
        </r>
      </text>
    </comment>
    <comment ref="E39" authorId="0">
      <text>
        <r>
          <t xml:space="preserve">Cited for D39:E39
CWAN 10-K FY2023 (filed 2024-02-29) p. 106</t>
        </r>
      </text>
    </comment>
    <comment ref="E40" authorId="0">
      <text>
        <r>
          <t xml:space="preserve">Cited for D40:E40
CWAN 10-K FY2023 (filed 2024-02-29) p. 106</t>
        </r>
      </text>
    </comment>
    <comment ref="E41" authorId="0">
      <text>
        <r>
          <t xml:space="preserve">Cited for D41:E41
CWAN 10-K FY2023 (filed 2024-02-29) p. 106</t>
        </r>
      </text>
    </comment>
    <comment ref="E47" authorId="0">
      <text>
        <r>
          <t xml:space="preserve">Cited for D47:E47
CWAN 10-K FY2023 (filed 2024-02-29) p. 106</t>
        </r>
      </text>
    </comment>
    <comment ref="E49" authorId="0">
      <text>
        <r>
          <t xml:space="preserve">Cited for D49:E49
CWAN 10-K FY2023 (filed 2024-02-29) p. 106</t>
        </r>
      </text>
    </comment>
    <comment ref="E9" authorId="0">
      <text>
        <r>
          <t xml:space="preserve">Cited for D9:E9
CWAN 10-K FY2023 (filed 2024-02-29) p. 106</t>
        </r>
      </text>
    </comment>
    <comment ref="G10" authorId="0">
      <text>
        <r>
          <t xml:space="preserve">Cited for F10:G10
CWAN 10-K FY2025 (filed 2026-02-18) p. 96</t>
        </r>
      </text>
    </comment>
    <comment ref="G11" authorId="0">
      <text>
        <r>
          <t xml:space="preserve">Cited for F11:G11
CWAN 10-K FY2025 (filed 2026-02-18) p. 96</t>
        </r>
      </text>
    </comment>
    <comment ref="G14" authorId="0">
      <text>
        <r>
          <t xml:space="preserve">Cited for F14:G14
CWAN 10-K FY2025 (filed 2026-02-18) p. 96</t>
        </r>
      </text>
    </comment>
    <comment ref="G15" authorId="0">
      <text>
        <r>
          <t xml:space="preserve">Cited for F15:G15
CWAN 10-K FY2025 (filed 2026-02-18) p. 96</t>
        </r>
      </text>
    </comment>
    <comment ref="G16" authorId="0">
      <text>
        <r>
          <t xml:space="preserve">Cited for F16:G16
CWAN 10-K FY2025 (filed 2026-02-18) p. 96</t>
        </r>
      </text>
    </comment>
    <comment ref="G17" authorId="0">
      <text>
        <r>
          <t xml:space="preserve">Cited for F17:G17
CWAN 10-K FY2025 (filed 2026-02-18) p. 96</t>
        </r>
      </text>
    </comment>
    <comment ref="G18" authorId="0">
      <text>
        <r>
          <t xml:space="preserve">Cited for F18:G18
CWAN 10-K FY2025 (filed 2026-02-18) p. 96</t>
        </r>
      </text>
    </comment>
    <comment ref="G19" authorId="0">
      <text>
        <r>
          <t xml:space="preserve">Cited for F19:G19
CWAN 10-K FY2025 (filed 2026-02-18) p. 96</t>
        </r>
      </text>
    </comment>
    <comment ref="G20" authorId="0">
      <text>
        <r>
          <t xml:space="preserve">Cited for F20:G20
CWAN 10-K FY2025 (filed 2026-02-18) p. 96</t>
        </r>
      </text>
    </comment>
    <comment ref="G21" authorId="0">
      <text>
        <r>
          <t xml:space="preserve">Cited for F21:G21
CWAN 10-K FY2025 (filed 2026-02-18) p. 96</t>
        </r>
      </text>
    </comment>
    <comment ref="G25" authorId="0">
      <text>
        <r>
          <t xml:space="preserve">Cited for F25:G25
CWAN 10-K FY2025 (filed 2026-02-18) p. 96</t>
        </r>
      </text>
    </comment>
    <comment ref="G26" authorId="0">
      <text>
        <r>
          <t xml:space="preserve">Cited for F26:G26
CWAN 10-K FY2025 (filed 2026-02-18) p. 96</t>
        </r>
      </text>
    </comment>
    <comment ref="G27" authorId="0">
      <text>
        <r>
          <t xml:space="preserve">Cited for F27:G27
CWAN 10-K FY2025 (filed 2026-02-18) p. 96</t>
        </r>
      </text>
    </comment>
    <comment ref="G28" authorId="0">
      <text>
        <r>
          <t xml:space="preserve">Cited for F28:G28
CWAN 10-K FY2025 (filed 2026-02-18) p. 96</t>
        </r>
      </text>
    </comment>
    <comment ref="G29" authorId="0">
      <text>
        <r>
          <t xml:space="preserve">Cited for F29:G29
CWAN 10-K FY2025 (filed 2026-02-18) p. 96</t>
        </r>
      </text>
    </comment>
    <comment ref="G30" authorId="0">
      <text>
        <r>
          <t xml:space="preserve">Cited for F30:G30
CWAN 10-K FY2025 (filed 2026-02-18) p. 96</t>
        </r>
      </text>
    </comment>
    <comment ref="G32" authorId="0">
      <text>
        <r>
          <t xml:space="preserve">Cited for F32:G32
CWAN 10-K FY2025 (filed 2026-02-18) p. 96</t>
        </r>
      </text>
    </comment>
    <comment ref="G33" authorId="0">
      <text>
        <r>
          <t xml:space="preserve">Cited for F33:G33
CWAN 10-K FY2025 (filed 2026-02-18) p. 96</t>
        </r>
      </text>
    </comment>
    <comment ref="G34" authorId="0">
      <text>
        <r>
          <t xml:space="preserve">Cited for F34:G34
CWAN 10-K FY2025 (filed 2026-02-18) p. 96</t>
        </r>
      </text>
    </comment>
    <comment ref="G37" authorId="0">
      <text>
        <r>
          <t xml:space="preserve">Cited for F37:G37
CWAN 10-K FY2025 (filed 2026-02-18) p. 96</t>
        </r>
      </text>
    </comment>
    <comment ref="G38" authorId="0">
      <text>
        <r>
          <t xml:space="preserve">Cited for F38:G38
CWAN 10-K FY2025 (filed 2026-02-18) p. 96</t>
        </r>
      </text>
    </comment>
    <comment ref="G39" authorId="0">
      <text>
        <r>
          <t xml:space="preserve">Cited for F39:G39
CWAN 10-K FY2025 (filed 2026-02-18) p. 96</t>
        </r>
      </text>
    </comment>
    <comment ref="G40" authorId="0">
      <text>
        <r>
          <t xml:space="preserve">Cited for F40:G40
CWAN 10-K FY2025 (filed 2026-02-18) p. 96</t>
        </r>
      </text>
    </comment>
    <comment ref="G41" authorId="0">
      <text>
        <r>
          <t xml:space="preserve">Cited for F41:G41
CWAN 10-K FY2025 (filed 2026-02-18) p. 96</t>
        </r>
      </text>
    </comment>
    <comment ref="G47" authorId="0">
      <text>
        <r>
          <t xml:space="preserve">Cited for F47:G47
CWAN 10-K FY2025 (filed 2026-02-18) p. 96</t>
        </r>
      </text>
    </comment>
    <comment ref="G48" authorId="0">
      <text>
        <r>
          <t xml:space="preserve">Cited for F48:G48
CWAN 10-K FY2025 (filed 2026-02-18) p. 128</t>
        </r>
      </text>
    </comment>
    <comment ref="G49" authorId="0">
      <text>
        <r>
          <t xml:space="preserve">Cited for F49:G49
CWAN 10-K FY2025 (filed 2026-02-18) p. 96</t>
        </r>
      </text>
    </comment>
    <comment ref="G83" authorId="0">
      <text>
        <r>
          <t xml:space="preserve">CWAN 10-K FY2025 (filed 2026-02-18) p. 132</t>
        </r>
      </text>
    </comment>
    <comment ref="G9" authorId="0">
      <text>
        <r>
          <t xml:space="preserve">Cited for F9:G9
CWAN 10-K FY2025 (filed 2026-02-18) p. 96</t>
        </r>
      </text>
    </comment>
    <comment ref="I11" authorId="0">
      <text>
        <r>
          <t xml:space="preserve">CWAN 10-Q FY2026 Q1 (filed 2026-05-07) p. 8</t>
        </r>
      </text>
    </comment>
    <comment ref="I14" authorId="0">
      <text>
        <r>
          <t xml:space="preserve">CWAN 10-Q FY2026 Q1 (filed 2026-05-07) p. 8</t>
        </r>
      </text>
    </comment>
    <comment ref="I15" authorId="0">
      <text>
        <r>
          <t xml:space="preserve">CWAN 10-Q FY2026 Q1 (filed 2026-05-07) p. 8</t>
        </r>
      </text>
    </comment>
    <comment ref="I16" authorId="0">
      <text>
        <r>
          <t xml:space="preserve">CWAN 10-Q FY2026 Q1 (filed 2026-05-07) p. 8</t>
        </r>
      </text>
    </comment>
    <comment ref="I17" authorId="0">
      <text>
        <r>
          <t xml:space="preserve">CWAN 10-Q FY2026 Q1 (filed 2026-05-07) p. 8</t>
        </r>
      </text>
    </comment>
    <comment ref="I18" authorId="0">
      <text>
        <r>
          <t xml:space="preserve">CWAN 10-Q FY2026 Q1 (filed 2026-05-07) p. 8</t>
        </r>
      </text>
    </comment>
    <comment ref="I19" authorId="0">
      <text>
        <r>
          <t xml:space="preserve">CWAN 10-Q FY2026 Q1 (filed 2026-05-07) p. 8</t>
        </r>
      </text>
    </comment>
    <comment ref="I20" authorId="0">
      <text>
        <r>
          <t xml:space="preserve">CWAN 10-Q FY2026 Q1 (filed 2026-05-07) p. 8</t>
        </r>
      </text>
    </comment>
    <comment ref="I25" authorId="0">
      <text>
        <r>
          <t xml:space="preserve">CWAN 10-Q FY2026 Q1 (filed 2026-05-07) p. 8</t>
        </r>
      </text>
    </comment>
    <comment ref="I26" authorId="0">
      <text>
        <r>
          <t xml:space="preserve">CWAN 10-Q FY2026 Q1 (filed 2026-05-07) p. 8</t>
        </r>
      </text>
    </comment>
    <comment ref="I27" authorId="0">
      <text>
        <r>
          <t xml:space="preserve">CWAN 10-Q FY2026 Q1 (filed 2026-05-07) p. 8</t>
        </r>
      </text>
    </comment>
    <comment ref="I28" authorId="0">
      <text>
        <r>
          <t xml:space="preserve">CWAN 10-Q FY2026 Q1 (filed 2026-05-07) p. 8</t>
        </r>
      </text>
    </comment>
    <comment ref="I29" authorId="0">
      <text>
        <r>
          <t xml:space="preserve">CWAN 10-Q FY2026 Q1 (filed 2026-05-07) p. 8</t>
        </r>
      </text>
    </comment>
    <comment ref="I32" authorId="0">
      <text>
        <r>
          <t xml:space="preserve">CWAN 10-Q FY2026 Q1 (filed 2026-05-07) p. 8</t>
        </r>
      </text>
    </comment>
    <comment ref="I33" authorId="0">
      <text>
        <r>
          <t xml:space="preserve">CWAN 10-Q FY2026 Q1 (filed 2026-05-07) p. 8</t>
        </r>
      </text>
    </comment>
    <comment ref="I34" authorId="0">
      <text>
        <r>
          <t xml:space="preserve">CWAN 10-Q FY2026 Q1 (filed 2026-05-07) p. 8</t>
        </r>
      </text>
    </comment>
    <comment ref="I37" authorId="0">
      <text>
        <r>
          <t xml:space="preserve">CWAN 10-Q FY2026 Q1 (filed 2026-05-07) p. 8</t>
        </r>
      </text>
    </comment>
    <comment ref="I38" authorId="0">
      <text>
        <r>
          <t xml:space="preserve">CWAN 10-Q FY2026 Q1 (filed 2026-05-07) p. 8</t>
        </r>
      </text>
    </comment>
    <comment ref="I39" authorId="0">
      <text>
        <r>
          <t xml:space="preserve">CWAN 10-Q FY2026 Q1 (filed 2026-05-07) p. 8</t>
        </r>
      </text>
    </comment>
    <comment ref="I40" authorId="0">
      <text>
        <r>
          <t xml:space="preserve">CWAN 10-Q FY2026 Q1 (filed 2026-05-07) p. 8</t>
        </r>
      </text>
    </comment>
    <comment ref="I41" authorId="0">
      <text>
        <r>
          <t xml:space="preserve">CWAN 10-Q FY2026 Q1 (filed 2026-05-07) p. 8</t>
        </r>
      </text>
    </comment>
    <comment ref="I47" authorId="0">
      <text>
        <r>
          <t xml:space="preserve">CWAN 10-Q FY2026 Q1 (filed 2026-05-07) p. 8</t>
        </r>
      </text>
    </comment>
    <comment ref="I48" authorId="0">
      <text>
        <r>
          <t xml:space="preserve">CWAN 10-Q FY2026 Q1 (filed 2026-05-07) p. 22</t>
        </r>
      </text>
    </comment>
    <comment ref="I49" authorId="0">
      <text>
        <r>
          <t xml:space="preserve">CWAN 10-Q FY2026 Q1 (filed 2026-05-07) p. 8</t>
        </r>
      </text>
    </comment>
    <comment ref="I9" authorId="0">
      <text>
        <r>
          <t xml:space="preserve">CWAN 10-Q FY2026 Q1 (filed 2026-05-07) p. 8</t>
        </r>
      </text>
    </comment>
  </commentList>
</comments>
</file>

<file path=xl/comments4.xml><?xml version="1.0" encoding="utf-8"?>
<comments xmlns="http://schemas.openxmlformats.org/spreadsheetml/2006/main">
  <authors>
    <author>Compound</author>
  </authors>
  <commentList>
    <comment ref="C10" authorId="0">
      <text>
        <r>
          <t xml:space="preserve">CWAN 10-K FY2023 (filed 2024-02-29) p. 115</t>
        </r>
      </text>
    </comment>
    <comment ref="C11" authorId="0">
      <text>
        <r>
          <t xml:space="preserve">CWAN 10-K FY2023 (filed 2024-02-29) p. 115</t>
        </r>
      </text>
    </comment>
    <comment ref="C12" authorId="0">
      <text>
        <r>
          <t xml:space="preserve">CWAN 10-K FY2023 (filed 2024-02-29) p. 115</t>
        </r>
      </text>
    </comment>
    <comment ref="C13" authorId="0">
      <text>
        <r>
          <t xml:space="preserve">CWAN 10-K FY2023 (filed 2024-02-29) p. 115</t>
        </r>
      </text>
    </comment>
    <comment ref="C14" authorId="0">
      <text>
        <r>
          <t xml:space="preserve">CWAN 10-K FY2023 (filed 2024-02-29) p. 115</t>
        </r>
      </text>
    </comment>
    <comment ref="C16" authorId="0">
      <text>
        <r>
          <t xml:space="preserve">CWAN 10-K FY2023 (filed 2024-02-29) p. 115</t>
        </r>
      </text>
    </comment>
    <comment ref="C21" authorId="0">
      <text>
        <r>
          <t xml:space="preserve">CWAN 10-K FY2023 (filed 2024-02-29) p. 115</t>
        </r>
      </text>
    </comment>
    <comment ref="C23" authorId="0">
      <text>
        <r>
          <t xml:space="preserve">CWAN 10-K FY2023 (filed 2024-02-29) p. 115</t>
        </r>
      </text>
    </comment>
    <comment ref="C24" authorId="0">
      <text>
        <r>
          <t xml:space="preserve">CWAN 10-K FY2023 (filed 2024-02-29) p. 115</t>
        </r>
      </text>
    </comment>
    <comment ref="C25" authorId="0">
      <text>
        <r>
          <t xml:space="preserve">CWAN 10-K FY2023 (filed 2024-02-29) p. 115</t>
        </r>
      </text>
    </comment>
    <comment ref="C26" authorId="0">
      <text>
        <r>
          <t xml:space="preserve">CWAN 10-K FY2023 (filed 2024-02-29) p. 115</t>
        </r>
      </text>
    </comment>
    <comment ref="C32" authorId="0">
      <text>
        <r>
          <t xml:space="preserve">CWAN 10-K FY2023 (filed 2024-02-29) p. 115</t>
        </r>
      </text>
    </comment>
    <comment ref="C43" authorId="0">
      <text>
        <r>
          <t xml:space="preserve">CWAN 10-K FY2023 (filed 2024-02-29) p. 115</t>
        </r>
      </text>
    </comment>
    <comment ref="C44" authorId="0">
      <text>
        <r>
          <t xml:space="preserve">CWAN 10-K FY2023 (filed 2024-02-29) p. 115</t>
        </r>
      </text>
    </comment>
    <comment ref="C45" authorId="0">
      <text>
        <r>
          <t xml:space="preserve">CWAN 10-K FY2023 (filed 2024-02-29) p. 115</t>
        </r>
      </text>
    </comment>
    <comment ref="C46" authorId="0">
      <text>
        <r>
          <t xml:space="preserve">CWAN 10-K FY2023 (filed 2024-02-29) p. 115</t>
        </r>
      </text>
    </comment>
    <comment ref="C48" authorId="0">
      <text>
        <r>
          <t xml:space="preserve">CWAN 10-K FY2023 (filed 2024-02-29) p. 115</t>
        </r>
      </text>
    </comment>
    <comment ref="C49" authorId="0">
      <text>
        <r>
          <t xml:space="preserve">CWAN 10-K FY2023 (filed 2024-02-29) p. 115</t>
        </r>
      </text>
    </comment>
    <comment ref="C50" authorId="0">
      <text>
        <r>
          <t xml:space="preserve">CWAN 10-K FY2023 (filed 2024-02-29) p. 115</t>
        </r>
      </text>
    </comment>
    <comment ref="C51" authorId="0">
      <text>
        <r>
          <t xml:space="preserve">CWAN 10-K FY2023 (filed 2024-02-29) p. 115</t>
        </r>
      </text>
    </comment>
    <comment ref="C52" authorId="0">
      <text>
        <r>
          <t xml:space="preserve">CWAN 10-K FY2023 (filed 2024-02-29) p. 115</t>
        </r>
      </text>
    </comment>
    <comment ref="C53" authorId="0">
      <text>
        <r>
          <t xml:space="preserve">CWAN 10-K FY2023 (filed 2024-02-29) p. 115</t>
        </r>
      </text>
    </comment>
    <comment ref="C57" authorId="0">
      <text>
        <r>
          <t xml:space="preserve">CWAN 10-K FY2023 (filed 2024-02-29) p. 115</t>
        </r>
      </text>
    </comment>
    <comment ref="C59" authorId="0">
      <text>
        <r>
          <t xml:space="preserve">CWAN 10-K FY2023 (filed 2024-02-29) p. 115</t>
        </r>
      </text>
    </comment>
    <comment ref="C66" authorId="0">
      <text>
        <r>
          <t xml:space="preserve">CWAN 10-K FY2023 (filed 2024-02-29) p. 115</t>
        </r>
      </text>
    </comment>
    <comment ref="D10" authorId="0">
      <text>
        <r>
          <t xml:space="preserve">CWAN 10-K FY2024 (filed 2025-02-26) p. 109</t>
        </r>
      </text>
    </comment>
    <comment ref="D11" authorId="0">
      <text>
        <r>
          <t xml:space="preserve">CWAN 10-K FY2024 (filed 2025-02-26) p. 109</t>
        </r>
      </text>
    </comment>
    <comment ref="D12" authorId="0">
      <text>
        <r>
          <t xml:space="preserve">CWAN 10-K FY2024 (filed 2025-02-26) p. 109</t>
        </r>
      </text>
    </comment>
    <comment ref="D13" authorId="0">
      <text>
        <r>
          <t xml:space="preserve">CWAN 10-K FY2024 (filed 2025-02-26) p. 109</t>
        </r>
      </text>
    </comment>
    <comment ref="D14" authorId="0">
      <text>
        <r>
          <t xml:space="preserve">CWAN 10-K FY2024 (filed 2025-02-26) p. 109</t>
        </r>
      </text>
    </comment>
    <comment ref="D15" authorId="0">
      <text>
        <r>
          <t xml:space="preserve">CWAN 10-K FY2024 (filed 2025-02-26) p. 109</t>
        </r>
      </text>
    </comment>
    <comment ref="D21" authorId="0">
      <text>
        <r>
          <t xml:space="preserve">CWAN 10-K FY2024 (filed 2025-02-26) p. 109</t>
        </r>
      </text>
    </comment>
    <comment ref="D23" authorId="0">
      <text>
        <r>
          <t xml:space="preserve">CWAN 10-K FY2024 (filed 2025-02-26) p. 109</t>
        </r>
      </text>
    </comment>
    <comment ref="D24" authorId="0">
      <text>
        <r>
          <t xml:space="preserve">CWAN 10-K FY2024 (filed 2025-02-26) p. 109</t>
        </r>
      </text>
    </comment>
    <comment ref="D25" authorId="0">
      <text>
        <r>
          <t xml:space="preserve">CWAN 10-K FY2024 (filed 2025-02-26) p. 109</t>
        </r>
      </text>
    </comment>
    <comment ref="D26" authorId="0">
      <text>
        <r>
          <t xml:space="preserve">CWAN 10-K FY2024 (filed 2025-02-26) p. 109</t>
        </r>
      </text>
    </comment>
    <comment ref="D27" authorId="0">
      <text>
        <r>
          <t xml:space="preserve">CWAN 10-K FY2024 (filed 2025-02-26) p. 109</t>
        </r>
      </text>
    </comment>
    <comment ref="D32" authorId="0">
      <text>
        <r>
          <t xml:space="preserve">CWAN 10-K FY2024 (filed 2025-02-26) p. 109</t>
        </r>
      </text>
    </comment>
    <comment ref="D34" authorId="0">
      <text>
        <r>
          <t xml:space="preserve">CWAN 10-K FY2024 (filed 2025-02-26) p. 109</t>
        </r>
      </text>
    </comment>
    <comment ref="D38" authorId="0">
      <text>
        <r>
          <t xml:space="preserve">CWAN 10-K FY2024 (filed 2025-02-26) p. 109</t>
        </r>
      </text>
    </comment>
    <comment ref="D44" authorId="0">
      <text>
        <r>
          <t xml:space="preserve">CWAN 10-K FY2024 (filed 2025-02-26) p. 109</t>
        </r>
      </text>
    </comment>
    <comment ref="D45" authorId="0">
      <text>
        <r>
          <t xml:space="preserve">CWAN 10-K FY2024 (filed 2025-02-26) p. 109</t>
        </r>
      </text>
    </comment>
    <comment ref="D47" authorId="0">
      <text>
        <r>
          <t xml:space="preserve">CWAN 10-K FY2024 (filed 2025-02-26) p. 109</t>
        </r>
      </text>
    </comment>
    <comment ref="D49" authorId="0">
      <text>
        <r>
          <t xml:space="preserve">CWAN 10-K FY2024 (filed 2025-02-26) p. 109</t>
        </r>
      </text>
    </comment>
    <comment ref="D53" authorId="0">
      <text>
        <r>
          <t xml:space="preserve">CWAN 10-K FY2024 (filed 2025-02-26) p. 109</t>
        </r>
      </text>
    </comment>
    <comment ref="D54" authorId="0">
      <text>
        <r>
          <t xml:space="preserve">CWAN 10-K FY2024 (filed 2025-02-26) p. 109</t>
        </r>
      </text>
    </comment>
    <comment ref="D57" authorId="0">
      <text>
        <r>
          <t xml:space="preserve">CWAN 10-K FY2024 (filed 2025-02-26) p. 109</t>
        </r>
      </text>
    </comment>
    <comment ref="D66" authorId="0">
      <text>
        <r>
          <t xml:space="preserve">CWAN 10-K FY2024 (filed 2025-02-26) p. 109</t>
        </r>
      </text>
    </comment>
    <comment ref="D67" authorId="0">
      <text>
        <r>
          <t xml:space="preserve">Cited for C67:D67
CWAN 10-K FY2023 (filed 2024-02-29) p. 115</t>
        </r>
      </text>
    </comment>
    <comment ref="G10" authorId="0">
      <text>
        <r>
          <t xml:space="preserve">Cited for E10:G10
CWAN 10-K FY2025 (filed 2026-02-18) p. 104</t>
        </r>
      </text>
    </comment>
    <comment ref="G100" authorId="0">
      <text>
        <r>
          <t xml:space="preserve">CWAN DEFM14A Definitive Merger Proxy (filed 2026-04-08) p. 81</t>
        </r>
      </text>
    </comment>
    <comment ref="G11" authorId="0">
      <text>
        <r>
          <t xml:space="preserve">Cited for E11:G11
CWAN 10-K FY2025 (filed 2026-02-18) p. 104</t>
        </r>
      </text>
    </comment>
    <comment ref="G12" authorId="0">
      <text>
        <r>
          <t xml:space="preserve">Cited for E12:G12
CWAN 10-K FY2025 (filed 2026-02-18) p. 104</t>
        </r>
      </text>
    </comment>
    <comment ref="G13" authorId="0">
      <text>
        <r>
          <t xml:space="preserve">Cited for E13:G13
CWAN 10-K FY2025 (filed 2026-02-18) p. 104</t>
        </r>
      </text>
    </comment>
    <comment ref="G14" authorId="0">
      <text>
        <r>
          <t xml:space="preserve">Cited for E14:G14
CWAN 10-K FY2025 (filed 2026-02-18) p. 104</t>
        </r>
      </text>
    </comment>
    <comment ref="G15" authorId="0">
      <text>
        <r>
          <t xml:space="preserve">Cited for E15:G15
CWAN 10-K FY2025 (filed 2026-02-18) p. 104</t>
        </r>
      </text>
    </comment>
    <comment ref="G16" authorId="0">
      <text>
        <r>
          <t xml:space="preserve">Cited for E16:G16
CWAN 10-K FY2025 (filed 2026-02-18) p. 104</t>
        </r>
      </text>
    </comment>
    <comment ref="G17" authorId="0">
      <text>
        <r>
          <t xml:space="preserve">Cited for E17:G17
CWAN 10-K FY2025 (filed 2026-02-18) p. 104</t>
        </r>
      </text>
    </comment>
    <comment ref="G18" authorId="0">
      <text>
        <r>
          <t xml:space="preserve">Cited for E18:G18
CWAN 10-K FY2025 (filed 2026-02-18) p. 104</t>
        </r>
      </text>
    </comment>
    <comment ref="G19" authorId="0">
      <text>
        <r>
          <t xml:space="preserve">Cited for E19:G19
CWAN 10-K FY2025 (filed 2026-02-18) p. 104</t>
        </r>
      </text>
    </comment>
    <comment ref="G21" authorId="0">
      <text>
        <r>
          <t xml:space="preserve">Cited for E21:G21
CWAN 10-K FY2025 (filed 2026-02-18) p. 104</t>
        </r>
      </text>
    </comment>
    <comment ref="G23" authorId="0">
      <text>
        <r>
          <t xml:space="preserve">Cited for E23:G23
CWAN 10-K FY2025 (filed 2026-02-18) p. 104</t>
        </r>
      </text>
    </comment>
    <comment ref="G24" authorId="0">
      <text>
        <r>
          <t xml:space="preserve">Cited for E24:G24
CWAN 10-K FY2025 (filed 2026-02-18) p. 104</t>
        </r>
      </text>
    </comment>
    <comment ref="G25" authorId="0">
      <text>
        <r>
          <t xml:space="preserve">Cited for E25:G25
CWAN 10-K FY2025 (filed 2026-02-18) p. 104</t>
        </r>
      </text>
    </comment>
    <comment ref="G26" authorId="0">
      <text>
        <r>
          <t xml:space="preserve">Cited for E26:G26
CWAN 10-K FY2025 (filed 2026-02-18) p. 104</t>
        </r>
      </text>
    </comment>
    <comment ref="G27" authorId="0">
      <text>
        <r>
          <t xml:space="preserve">Cited for E27:G27
CWAN 10-K FY2025 (filed 2026-02-18) p. 104</t>
        </r>
      </text>
    </comment>
    <comment ref="G28" authorId="0">
      <text>
        <r>
          <t xml:space="preserve">Cited for E28:G28
CWAN 10-K FY2025 (filed 2026-02-18) p. 104</t>
        </r>
      </text>
    </comment>
    <comment ref="G32" authorId="0">
      <text>
        <r>
          <t xml:space="preserve">Cited for E32:G32
CWAN 10-K FY2025 (filed 2026-02-18) p. 104</t>
        </r>
      </text>
    </comment>
    <comment ref="G33" authorId="0">
      <text>
        <r>
          <t xml:space="preserve">Cited for E33:G33
CWAN 10-K FY2025 (filed 2026-02-18) p. 104</t>
        </r>
      </text>
    </comment>
    <comment ref="G34" authorId="0">
      <text>
        <r>
          <t xml:space="preserve">Cited for E34:G34
CWAN 10-K FY2025 (filed 2026-02-18) p. 104</t>
        </r>
      </text>
    </comment>
    <comment ref="G35" authorId="0">
      <text>
        <r>
          <t xml:space="preserve">Cited for E35:G35
CWAN 10-K FY2025 (filed 2026-02-18) p. 104</t>
        </r>
      </text>
    </comment>
    <comment ref="G36" authorId="0">
      <text>
        <r>
          <t xml:space="preserve">Cited for E36:G36
CWAN 10-K FY2025 (filed 2026-02-18) p. 104</t>
        </r>
      </text>
    </comment>
    <comment ref="G37" authorId="0">
      <text>
        <r>
          <t xml:space="preserve">Cited for E37:G37
CWAN 10-K FY2025 (filed 2026-02-18) p. 104</t>
        </r>
      </text>
    </comment>
    <comment ref="G38" authorId="0">
      <text>
        <r>
          <t xml:space="preserve">Cited for E38:G38
CWAN 10-K FY2025 (filed 2026-02-18) p. 104</t>
        </r>
      </text>
    </comment>
    <comment ref="G39" authorId="0">
      <text>
        <r>
          <t xml:space="preserve">Cited for E39:G39
CWAN 10-K FY2025 (filed 2026-02-18) p. 104</t>
        </r>
      </text>
    </comment>
    <comment ref="G44" authorId="0">
      <text>
        <r>
          <t xml:space="preserve">Cited for E44:G44
CWAN 10-K FY2025 (filed 2026-02-18) p. 104</t>
        </r>
      </text>
    </comment>
    <comment ref="G45" authorId="0">
      <text>
        <r>
          <t xml:space="preserve">Cited for E45:G45
CWAN 10-K FY2025 (filed 2026-02-18) p. 104</t>
        </r>
      </text>
    </comment>
    <comment ref="G46" authorId="0">
      <text>
        <r>
          <t xml:space="preserve">Cited for E46:G46
CWAN 10-K FY2025 (filed 2026-02-18) p. 104</t>
        </r>
      </text>
    </comment>
    <comment ref="G47" authorId="0">
      <text>
        <r>
          <t xml:space="preserve">Cited for E47:G47
CWAN 10-K FY2025 (filed 2026-02-18) p. 104</t>
        </r>
      </text>
    </comment>
    <comment ref="G48" authorId="0">
      <text>
        <r>
          <t xml:space="preserve">Cited for E48:G48
CWAN 10-K FY2025 (filed 2026-02-18) p. 104</t>
        </r>
      </text>
    </comment>
    <comment ref="G49" authorId="0">
      <text>
        <r>
          <t xml:space="preserve">Cited for E49:G49
CWAN 10-K FY2025 (filed 2026-02-18) p. 104</t>
        </r>
      </text>
    </comment>
    <comment ref="G54" authorId="0">
      <text>
        <r>
          <t xml:space="preserve">Cited for E54:G54
CWAN 10-K FY2025 (filed 2026-02-18) p. 104</t>
        </r>
      </text>
    </comment>
    <comment ref="G55" authorId="0">
      <text>
        <r>
          <t xml:space="preserve">Cited for E55:G55
CWAN 10-K FY2025 (filed 2026-02-18) p. 104</t>
        </r>
      </text>
    </comment>
    <comment ref="G57" authorId="0">
      <text>
        <r>
          <t xml:space="preserve">Cited for E57:G57
CWAN 10-K FY2025 (filed 2026-02-18) p. 104</t>
        </r>
      </text>
    </comment>
    <comment ref="G66" authorId="0">
      <text>
        <r>
          <t xml:space="preserve">Cited for E66:G66
CWAN 10-K FY2025 (filed 2026-02-18) p. 104</t>
        </r>
      </text>
    </comment>
    <comment ref="G67" authorId="0">
      <text>
        <r>
          <t xml:space="preserve">Cited for E67:G67
CWAN 10-K FY2025 (filed 2026-02-18) p. 104</t>
        </r>
      </text>
    </comment>
    <comment ref="G96" authorId="0">
      <text>
        <r>
          <t xml:space="preserve">CWAN DEFM14A Definitive Merger Proxy (filed 2026-04-08) p. 81</t>
        </r>
      </text>
    </comment>
    <comment ref="G97" authorId="0">
      <text>
        <r>
          <t xml:space="preserve">CWAN DEFM14A Definitive Merger Proxy (filed 2026-04-08) p. 81</t>
        </r>
      </text>
    </comment>
    <comment ref="H37" authorId="0">
      <text>
        <r>
          <t xml:space="preserve">CWAN 10-Q FY2026 Q1 (filed 2026-05-07) p. 14</t>
        </r>
      </text>
    </comment>
    <comment ref="I10" authorId="0">
      <text>
        <r>
          <t xml:space="preserve">Cited for H10:I10
CWAN 10-Q FY2026 Q1 (filed 2026-05-07) p. 14</t>
        </r>
      </text>
    </comment>
    <comment ref="I11" authorId="0">
      <text>
        <r>
          <t xml:space="preserve">Cited for H11:I11
CWAN 10-Q FY2026 Q1 (filed 2026-05-07) p. 14</t>
        </r>
      </text>
    </comment>
    <comment ref="I12" authorId="0">
      <text>
        <r>
          <t xml:space="preserve">Cited for H12:I12
CWAN 10-Q FY2026 Q1 (filed 2026-05-07) p. 14</t>
        </r>
      </text>
    </comment>
    <comment ref="I13" authorId="0">
      <text>
        <r>
          <t xml:space="preserve">Cited for H13:I13
CWAN 10-Q FY2026 Q1 (filed 2026-05-07) p. 14</t>
        </r>
      </text>
    </comment>
    <comment ref="I14" authorId="0">
      <text>
        <r>
          <t xml:space="preserve">Cited for H14:I14
CWAN 10-Q FY2026 Q1 (filed 2026-05-07) p. 14</t>
        </r>
      </text>
    </comment>
    <comment ref="I15" authorId="0">
      <text>
        <r>
          <t xml:space="preserve">Cited for H15:I15
CWAN 10-Q FY2026 Q1 (filed 2026-05-07) p. 14</t>
        </r>
      </text>
    </comment>
    <comment ref="I17" authorId="0">
      <text>
        <r>
          <t xml:space="preserve">Cited for H17:I17
CWAN 10-Q FY2026 Q1 (filed 2026-05-07) p. 14</t>
        </r>
      </text>
    </comment>
    <comment ref="I18" authorId="0">
      <text>
        <r>
          <t xml:space="preserve">Cited for H18:I18
CWAN 10-Q FY2026 Q1 (filed 2026-05-07) p. 14</t>
        </r>
      </text>
    </comment>
    <comment ref="I19" authorId="0">
      <text>
        <r>
          <t xml:space="preserve">Cited for H19:I19
CWAN 10-Q FY2026 Q1 (filed 2026-05-07) p. 14</t>
        </r>
      </text>
    </comment>
    <comment ref="I20" authorId="0">
      <text>
        <r>
          <t xml:space="preserve">Cited for H20:I20
CWAN 10-Q FY2026 Q1 (filed 2026-05-07) p. 14</t>
        </r>
      </text>
    </comment>
    <comment ref="I21" authorId="0">
      <text>
        <r>
          <t xml:space="preserve">Cited for H21:I21
CWAN 10-Q FY2026 Q1 (filed 2026-05-07) p. 14</t>
        </r>
      </text>
    </comment>
    <comment ref="I23" authorId="0">
      <text>
        <r>
          <t xml:space="preserve">Cited for H23:I23
CWAN 10-Q FY2026 Q1 (filed 2026-05-07) p. 14</t>
        </r>
      </text>
    </comment>
    <comment ref="I24" authorId="0">
      <text>
        <r>
          <t xml:space="preserve">Cited for H24:I24
CWAN 10-Q FY2026 Q1 (filed 2026-05-07) p. 14</t>
        </r>
      </text>
    </comment>
    <comment ref="I25" authorId="0">
      <text>
        <r>
          <t xml:space="preserve">Cited for H25:I25
CWAN 10-Q FY2026 Q1 (filed 2026-05-07) p. 14</t>
        </r>
      </text>
    </comment>
    <comment ref="I26" authorId="0">
      <text>
        <r>
          <t xml:space="preserve">Cited for H26:I26
CWAN 10-Q FY2026 Q1 (filed 2026-05-07) p. 14</t>
        </r>
      </text>
    </comment>
    <comment ref="I27" authorId="0">
      <text>
        <r>
          <t xml:space="preserve">Cited for H27:I27
CWAN 10-Q FY2026 Q1 (filed 2026-05-07) p. 14</t>
        </r>
      </text>
    </comment>
    <comment ref="I28" authorId="0">
      <text>
        <r>
          <t xml:space="preserve">Cited for H28:I28
CWAN 10-Q FY2026 Q1 (filed 2026-05-07) p. 14</t>
        </r>
      </text>
    </comment>
    <comment ref="I32" authorId="0">
      <text>
        <r>
          <t xml:space="preserve">Cited for H32:I32
CWAN 10-Q FY2026 Q1 (filed 2026-05-07) p. 14</t>
        </r>
      </text>
    </comment>
    <comment ref="I34" authorId="0">
      <text>
        <r>
          <t xml:space="preserve">Cited for H34:I34
CWAN 10-Q FY2026 Q1 (filed 2026-05-07) p. 14</t>
        </r>
      </text>
    </comment>
    <comment ref="I36" authorId="0">
      <text>
        <r>
          <t xml:space="preserve">Cited for H36:I36
CWAN 10-Q FY2026 Q1 (filed 2026-05-07) p. 14</t>
        </r>
      </text>
    </comment>
    <comment ref="I45" authorId="0">
      <text>
        <r>
          <t xml:space="preserve">Cited for H45:I45
CWAN 10-Q FY2026 Q1 (filed 2026-05-07) p. 14</t>
        </r>
      </text>
    </comment>
    <comment ref="I49" authorId="0">
      <text>
        <r>
          <t xml:space="preserve">Cited for H49:I49
CWAN 10-Q FY2026 Q1 (filed 2026-05-07) p. 14</t>
        </r>
      </text>
    </comment>
    <comment ref="I50" authorId="0">
      <text>
        <r>
          <t xml:space="preserve">Cited for H50:I50
CWAN 10-Q FY2026 Q1 (filed 2026-05-07) p. 14</t>
        </r>
      </text>
    </comment>
    <comment ref="I57" authorId="0">
      <text>
        <r>
          <t xml:space="preserve">Cited for H57:I57
CWAN 10-Q FY2026 Q1 (filed 2026-05-07) p. 14</t>
        </r>
      </text>
    </comment>
    <comment ref="I59" authorId="0">
      <text>
        <r>
          <t xml:space="preserve">Cited for H59:I59
CWAN 10-Q FY2026 Q1 (filed 2026-05-07) p. 14</t>
        </r>
      </text>
    </comment>
    <comment ref="I66" authorId="0">
      <text>
        <r>
          <t xml:space="preserve">Cited for H66:I66
CWAN 10-Q FY2026 Q1 (filed 2026-05-07) p. 14</t>
        </r>
      </text>
    </comment>
    <comment ref="I67" authorId="0">
      <text>
        <r>
          <t xml:space="preserve">Cited for H67:I67
CWAN 10-Q FY2026 Q1 (filed 2026-05-07) p. 14</t>
        </r>
      </text>
    </comment>
    <comment ref="K142" authorId="0">
      <text>
        <r>
          <t xml:space="preserve">Cited for K142:K144
SC 13E-3 exhibit (c)(ii), special committee fairness materials (2025-12-20) p. 26</t>
        </r>
      </text>
    </comment>
    <comment ref="K145" authorId="0">
      <text>
        <r>
          <t xml:space="preserve">Cited for K145:K146
SC 13E-3 exhibit (c)(ii), special committee fairness materials (2025-12-20) p. 4</t>
        </r>
      </text>
    </comment>
    <comment ref="K166" authorId="0">
      <text>
        <r>
          <t xml:space="preserve">Cited for K166:K167
SC 13E-3 exhibit (c)(ii), special committee fairness materials (2025-12-20) p. 26</t>
        </r>
      </text>
    </comment>
    <comment ref="K168" authorId="0">
      <text>
        <r>
          <t xml:space="preserve">Cited for K168:K170
SC 13E-3 exhibit (c)(ii), special committee fairness materials (2025-12-20) p. 6</t>
        </r>
      </text>
    </comment>
    <comment ref="O100" authorId="0">
      <text>
        <r>
          <t xml:space="preserve">Cited for K100:O100
CWAN DEFM14A Definitive Merger Proxy (filed 2026-04-08) p. 81</t>
        </r>
      </text>
    </comment>
    <comment ref="O101" authorId="0">
      <text>
        <r>
          <t xml:space="preserve">Cited for K101:O102
SC 13E-3 exhibit (c)(ii), special committee fairness materials (2025-12-20) p. 15</t>
        </r>
      </text>
    </comment>
    <comment ref="O103" authorId="0">
      <text>
        <r>
          <t xml:space="preserve">Cited for K103:O103
CWAN DEFM14A Definitive Merger Proxy (filed 2026-04-08) p. 81</t>
        </r>
      </text>
    </comment>
    <comment ref="O104" authorId="0">
      <text>
        <r>
          <t xml:space="preserve">Cited for K104:O107
SC 13E-3 exhibit (c)(ii), special committee fairness materials (2025-12-20) p. 15</t>
        </r>
      </text>
    </comment>
    <comment ref="O108" authorId="0">
      <text>
        <r>
          <t xml:space="preserve">Cited for K108:O108
CWAN DEFM14A Definitive Merger Proxy (filed 2026-04-08) p. 81</t>
        </r>
      </text>
    </comment>
    <comment ref="O109" authorId="0">
      <text>
        <r>
          <t xml:space="preserve">Cited for K109:O109
CWAN DEFM14A Definitive Merger Proxy (filed 2026-04-08) p. 81</t>
        </r>
      </text>
    </comment>
    <comment ref="O110" authorId="0">
      <text>
        <r>
          <t xml:space="preserve">Cited for K110:O110
CWAN DEFM14A Definitive Merger Proxy (filed 2026-04-08) p. 81</t>
        </r>
      </text>
    </comment>
    <comment ref="O111" authorId="0">
      <text>
        <r>
          <t xml:space="preserve">Cited for K111:O111
CWAN DEFM14A Definitive Merger Proxy (filed 2026-04-08) p. 81</t>
        </r>
      </text>
    </comment>
    <comment ref="O96" authorId="0">
      <text>
        <r>
          <t xml:space="preserve">Cited for K96:O96
CWAN DEFM14A Definitive Merger Proxy (filed 2026-04-08) p. 81</t>
        </r>
      </text>
    </comment>
    <comment ref="O97" authorId="0">
      <text>
        <r>
          <t xml:space="preserve">Cited for K97:O97
CWAN DEFM14A Definitive Merger Proxy (filed 2026-04-08) p. 81</t>
        </r>
      </text>
    </comment>
    <comment ref="O98" authorId="0">
      <text>
        <r>
          <t xml:space="preserve">Cited for K98:O99
SC 13E-3 exhibit (c)(ii), special committee fairness materials (2025-12-20) p. 15</t>
        </r>
      </text>
    </comment>
  </commentList>
</comments>
</file>

<file path=xl/sharedStrings.xml><?xml version="1.0" encoding="utf-8"?>
<sst xmlns="http://schemas.openxmlformats.org/spreadsheetml/2006/main" count="1475" uniqueCount="1475">
  <si>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</si>
  <si>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</si>
  <si>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</si>
  <si>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</si>
  <si>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</si>
  <si>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</si>
  <si>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</si>
  <si>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</si>
  <si>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</si>
  <si>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</si>
  <si>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</si>
  <si>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Depreciation (% of capex)</t>
  </si>
  <si>
    <t/>
  </si>
  <si>
    <t/>
  </si>
  <si>
    <t/>
  </si>
  <si>
    <t>Cash tax rate (%)</t>
  </si>
  <si>
    <t>DTA usage limit (% of taxable income)</t>
  </si>
  <si>
    <t>Other taxes ($M)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</si>
  <si>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</si>
  <si>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</si>
  <si>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</si>
  <si>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</si>
  <si>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</si>
  <si>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</si>
  <si>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</si>
  <si>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</si>
  <si>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</si>
  <si>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</si>
  <si>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</si>
  <si>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</si>
  <si>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</si>
  <si>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</si>
  <si>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</si>
  <si>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Cost of revenue</t>
  </si>
  <si>
    <t>Research and development</t>
  </si>
  <si>
    <t>Sales and marketing</t>
  </si>
  <si>
    <t>General and administrative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</si>
  <si>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</si>
  <si>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</si>
  <si>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</si>
  <si>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</si>
  <si>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</si>
  <si>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</si>
  <si>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</si>
  <si>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</si>
  <si>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</si>
  <si>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</si>
  <si>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</si>
  <si>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</si>
  <si>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</si>
  <si>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</si>
  <si>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</si>
  <si>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</si>
  <si>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</si>
  <si>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</si>
  <si>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</si>
  <si>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</si>
  <si>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</si>
  <si>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</si>
  <si>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</si>
  <si>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</si>
  <si>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</si>
  <si>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</si>
  <si>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</si>
  <si>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% growth</t>
  </si>
  <si>
    <t>Gross profit ($M)</t>
  </si>
  <si>
    <t>% margin</t>
  </si>
  <si>
    <t>Total operating expenses ($M)</t>
  </si>
  <si>
    <t/>
  </si>
  <si>
    <t>(+) Depreciation and amortization</t>
  </si>
  <si>
    <t/>
  </si>
  <si>
    <t>(+) Transaction expenses</t>
  </si>
  <si>
    <t/>
  </si>
  <si>
    <t>Adjusted EBITDA ($M)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</si>
  <si>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</si>
  <si>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</si>
  <si>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</si>
  <si>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</si>
  <si>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</si>
  <si>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</si>
  <si>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</si>
  <si>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</si>
  <si>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</si>
  <si>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</si>
  <si>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</si>
  <si>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</si>
  <si>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</si>
  <si>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Gross profit, non-GAAP ($M)</t>
  </si>
  <si>
    <t/>
  </si>
  <si>
    <t/>
  </si>
  <si>
    <t/>
  </si>
  <si>
    <t/>
  </si>
  <si>
    <t/>
  </si>
  <si>
    <t/>
  </si>
  <si>
    <t/>
  </si>
  <si>
    <t>Cash and cash equivalents</t>
  </si>
  <si>
    <t>Short-term investments</t>
  </si>
  <si>
    <t>Accounts receivable, net</t>
  </si>
  <si>
    <t/>
  </si>
  <si>
    <t/>
  </si>
  <si>
    <t/>
  </si>
  <si>
    <t/>
  </si>
  <si>
    <t/>
  </si>
  <si>
    <t/>
  </si>
  <si>
    <t>Deferred tax assets, net</t>
  </si>
  <si>
    <t>Other non-current assets</t>
  </si>
  <si>
    <t>Intangible assets, net</t>
  </si>
  <si>
    <t>Goodwill</t>
  </si>
  <si>
    <t>Long-term investments</t>
  </si>
  <si>
    <t>Total assets ($M)</t>
  </si>
  <si>
    <t>Accounts payable</t>
  </si>
  <si>
    <t/>
  </si>
  <si>
    <t>Deferred revenue</t>
  </si>
  <si>
    <t/>
  </si>
  <si>
    <t/>
  </si>
  <si>
    <t/>
  </si>
  <si>
    <t>Total current liabilities ($M)</t>
  </si>
  <si>
    <t/>
  </si>
  <si>
    <t>Operating lease liability, non-current</t>
  </si>
  <si>
    <t>Other long-term liabilities</t>
  </si>
  <si>
    <t>Total liabilities ($M)</t>
  </si>
  <si>
    <t/>
  </si>
  <si>
    <t/>
  </si>
  <si>
    <t/>
  </si>
  <si>
    <t/>
  </si>
  <si>
    <t>Additional paid-in capital</t>
  </si>
  <si>
    <t/>
  </si>
  <si>
    <t/>
  </si>
  <si>
    <t/>
  </si>
  <si>
    <t>Non-controlling interests</t>
  </si>
  <si>
    <t/>
  </si>
  <si>
    <t/>
  </si>
  <si>
    <t/>
  </si>
  <si>
    <t/>
  </si>
  <si>
    <t/>
  </si>
  <si>
    <t/>
  </si>
  <si>
    <t>Depreciation and amortization</t>
  </si>
  <si>
    <t/>
  </si>
  <si>
    <t>Equity-based compensation</t>
  </si>
  <si>
    <t/>
  </si>
  <si>
    <t>Amortization of debt issuance costs</t>
  </si>
  <si>
    <t>Debt extinguishment costs</t>
  </si>
  <si>
    <t>Provision for bad debt</t>
  </si>
  <si>
    <t/>
  </si>
  <si>
    <t>Accretion of discount on investments</t>
  </si>
  <si>
    <t>Realized gain on investments</t>
  </si>
  <si>
    <t>Gain on disposal of fixed assets</t>
  </si>
  <si>
    <t/>
  </si>
  <si>
    <t/>
  </si>
  <si>
    <t/>
  </si>
  <si>
    <t/>
  </si>
  <si>
    <t/>
  </si>
  <si>
    <t/>
  </si>
  <si>
    <t/>
  </si>
  <si>
    <t/>
  </si>
  <si>
    <t/>
  </si>
  <si>
    <t>Purchases of intangible assets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</si>
  <si>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</si>
  <si>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</si>
  <si>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</si>
  <si>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</si>
  <si>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</si>
  <si>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</si>
  <si>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</si>
  <si>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</si>
  <si>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</si>
  <si>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</si>
  <si>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</si>
  <si>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Repayments of borrowings</t>
  </si>
  <si>
    <t/>
  </si>
  <si>
    <t/>
  </si>
  <si>
    <t/>
  </si>
  <si>
    <t/>
  </si>
  <si>
    <t/>
  </si>
  <si>
    <t/>
  </si>
  <si>
    <t>Net change in cash ($M)</t>
  </si>
  <si>
    <t/>
  </si>
  <si>
    <t/>
  </si>
  <si>
    <t/>
  </si>
  <si>
    <t/>
  </si>
  <si>
    <t/>
  </si>
  <si>
    <t>SUPPORTING SCHEDULES</t>
  </si>
  <si>
    <t/>
  </si>
  <si>
    <t/>
  </si>
  <si>
    <t>% of revenue</t>
  </si>
  <si>
    <t/>
  </si>
  <si>
    <t/>
  </si>
  <si>
    <t/>
  </si>
  <si>
    <t/>
  </si>
  <si>
    <t/>
  </si>
  <si>
    <t/>
  </si>
  <si>
    <t>Capital expenditures</t>
  </si>
  <si>
    <t>Depreciation (P&amp;E)</t>
  </si>
  <si>
    <t/>
  </si>
  <si>
    <t/>
  </si>
  <si>
    <t/>
  </si>
  <si>
    <t/>
  </si>
  <si>
    <t/>
  </si>
  <si>
    <t>Amortization / capitalized (%)</t>
  </si>
  <si>
    <t/>
  </si>
  <si>
    <t/>
  </si>
  <si>
    <t/>
  </si>
  <si>
    <t/>
  </si>
  <si>
    <t/>
  </si>
  <si>
    <t/>
  </si>
  <si>
    <t/>
  </si>
  <si>
    <t/>
  </si>
  <si>
    <t/>
  </si>
  <si>
    <t/>
  </si>
  <si>
    <t>Total interest expense ($M)</t>
  </si>
  <si>
    <t/>
  </si>
  <si>
    <t/>
  </si>
  <si>
    <t/>
  </si>
  <si>
    <t/>
  </si>
  <si>
    <t/>
  </si>
  <si>
    <t>Current income tax</t>
  </si>
  <si>
    <t>Other taxes</t>
  </si>
  <si>
    <t/>
  </si>
  <si>
    <t/>
  </si>
  <si>
    <t>Actual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</si>
  <si>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</si>
  <si>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</si>
  <si>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</si>
  <si>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</si>
  <si>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</si>
  <si>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</si>
  <si>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</si>
  <si>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</si>
  <si>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</si>
  <si>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</si>
  <si>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</si>
  <si>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</si>
  <si>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</si>
  <si>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</si>
  <si>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</si>
  <si>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</si>
  <si>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</si>
  <si>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</si>
  <si>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</si>
  <si>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</si>
  <si>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</si>
  <si>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</si>
  <si>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</si>
  <si>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</si>
  <si>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</si>
  <si>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</si>
  <si>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</si>
  <si>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</si>
  <si>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</si>
  <si>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</si>
  <si>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</si>
  <si>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</si>
  <si>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</si>
  <si>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</si>
  <si>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</si>
  <si>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</si>
  <si>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</si>
  <si>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</si>
  <si>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</si>
  <si>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</si>
  <si>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</si>
  <si>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</si>
  <si>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</si>
  <si>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</si>
  <si>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</si>
  <si>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</si>
  <si>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</si>
  <si>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</si>
  <si>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</si>
  <si>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</si>
  <si>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</si>
  <si>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</si>
  <si>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</si>
  <si>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</si>
  <si>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</si>
  <si>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</si>
  <si>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</si>
  <si>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</si>
  <si>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</si>
  <si>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</si>
  <si>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</si>
  <si>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</si>
  <si>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</si>
  <si>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</si>
  <si>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</si>
  <si>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</si>
  <si>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</si>
  <si>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</si>
  <si>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</si>
  <si>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</si>
  <si>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</si>
  <si>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</si>
  <si>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</si>
  <si>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</si>
  <si>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</si>
  <si>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</si>
  <si>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</si>
  <si>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</si>
  <si>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</si>
  <si>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</si>
  <si>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</si>
  <si>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</si>
  <si>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</si>
  <si>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Revenue</t>
  </si>
  <si>
    <t/>
  </si>
  <si>
    <t/>
  </si>
  <si>
    <t/>
  </si>
  <si>
    <t/>
  </si>
  <si>
    <t/>
  </si>
  <si>
    <t/>
  </si>
  <si>
    <t>NOPAT ($M)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</si>
  <si>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</si>
  <si>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</si>
  <si>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</si>
  <si>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</si>
  <si>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</si>
  <si>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</si>
  <si>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</si>
  <si>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</si>
  <si>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</si>
  <si>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</si>
  <si>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</si>
  <si>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</si>
  <si>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</si>
  <si>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</si>
  <si>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</si>
  <si>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</si>
  <si>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</si>
  <si>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% of proxy UFCF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</si>
  <si>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</si>
  <si>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</si>
  <si>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</si>
  <si>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</si>
  <si>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</si>
  <si>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</si>
  <si>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</si>
  <si>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</si>
  <si>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</si>
  <si>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</si>
  <si>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</si>
  <si>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</si>
  <si>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</si>
  <si>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</si>
  <si>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</si>
  <si>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</si>
  <si>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</si>
  <si>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</si>
  <si>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</si>
  <si>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</si>
  <si>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</si>
  <si>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</si>
  <si>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</si>
  <si>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</si>
  <si>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</si>
  <si>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</si>
  <si>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</si>
  <si>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</si>
  <si>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</si>
  <si>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</si>
  <si>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</si>
  <si>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</si>
  <si>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</si>
  <si>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</si>
  <si>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</si>
  <si>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</si>
  <si>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</si>
  <si>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</si>
  <si>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</si>
  <si>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</si>
  <si>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</si>
  <si>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</si>
  <si>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</si>
  <si>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</si>
  <si>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</si>
  <si>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</si>
  <si>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</si>
  <si>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</si>
  <si>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</si>
  <si>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</si>
  <si>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</si>
  <si>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</si>
  <si>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</si>
  <si>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</si>
  <si>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</si>
  <si>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</si>
  <si>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</si>
  <si>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</si>
  <si>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</si>
  <si>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</si>
  <si>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</si>
  <si>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</si>
  <si>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</si>
  <si>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</si>
  <si>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</si>
  <si>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</si>
  <si>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</si>
  <si>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</si>
  <si>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</si>
  <si>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</si>
  <si>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</si>
  <si>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</si>
  <si>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</si>
  <si>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</si>
  <si>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</si>
  <si>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</si>
  <si>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</si>
  <si>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</si>
  <si>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</si>
  <si>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</si>
  <si>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</si>
  <si>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</si>
  <si>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</si>
  <si>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</si>
  <si>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</si>
  <si>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</si>
  <si>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</si>
  <si>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</si>
  <si>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</si>
  <si>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</si>
  <si>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</si>
  <si>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</si>
  <si>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</si>
  <si>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</si>
  <si>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</si>
  <si>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</si>
  <si>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</si>
  <si>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</si>
  <si>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</si>
  <si>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</si>
  <si>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</si>
  <si>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</si>
  <si>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</si>
  <si>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</si>
  <si>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</si>
  <si>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</si>
  <si>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</si>
  <si>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</si>
  <si>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</si>
  <si>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</si>
  <si>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</si>
  <si>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</si>
  <si>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</si>
  <si>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</si>
  <si>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</si>
  <si>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</si>
  <si>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</si>
  <si>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</si>
  <si>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</si>
  <si>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</si>
  <si>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</si>
  <si>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</si>
  <si>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</si>
  <si>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</si>
  <si>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</si>
  <si>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</si>
  <si>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</si>
  <si>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Enfusion</t>
  </si>
  <si>
    <t>Beacon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</si>
  <si>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</si>
  <si>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</si>
  <si>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</si>
  <si>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</si>
  <si>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</si>
  <si>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</si>
  <si>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</si>
  <si>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</si>
  <si>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</si>
  <si>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</si>
  <si>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</si>
  <si>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</si>
  <si>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</si>
  <si>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</si>
  <si>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</si>
  <si>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</si>
  <si>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</si>
  <si>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</si>
  <si>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</si>
  <si>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</si>
  <si>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</si>
  <si>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</si>
  <si>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</si>
  <si>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</si>
  <si>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</si>
  <si>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</si>
  <si>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</si>
  <si>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</si>
  <si>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</si>
  <si>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</si>
  <si>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</si>
  <si>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</si>
  <si>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</si>
  <si>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</si>
  <si>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</si>
  <si>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</si>
  <si>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</si>
  <si>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</si>
  <si>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</si>
  <si>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</si>
  <si>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</si>
  <si>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</si>
  <si>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</si>
  <si>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</si>
  <si>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</si>
  <si>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</si>
  <si>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</si>
  <si>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</si>
  <si>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</si>
  <si>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</si>
  <si>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</si>
  <si>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</si>
  <si>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</si>
  <si>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</si>
  <si>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</si>
  <si>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</si>
  <si>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</si>
  <si>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</si>
  <si>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</si>
  <si>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</si>
  <si>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</si>
  <si>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</si>
  <si>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</si>
  <si>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</si>
  <si>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</si>
  <si>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</si>
  <si>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</si>
  <si>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</si>
  <si>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</si>
  <si>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</si>
  <si>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</si>
  <si>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</si>
  <si>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</si>
  <si>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</si>
  <si>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</si>
  <si>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</si>
  <si>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</si>
  <si>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</si>
  <si>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</si>
  <si>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</si>
  <si>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(+) SBC and related payroll taxes</t>
  </si>
  <si>
    <t>(+) Up-C structure expenses</t>
  </si>
  <si>
    <t>(+) Prepaid management fee amortization</t>
  </si>
  <si>
    <t>Adjusted EBITDA, as reported</t>
  </si>
  <si>
    <t>(–) SBC expense</t>
  </si>
  <si>
    <t/>
  </si>
  <si>
    <t>o/w JUMP acquisition SBC</t>
  </si>
  <si>
    <t/>
  </si>
  <si>
    <t>o/w payroll tax on equity awards</t>
  </si>
  <si>
    <t/>
  </si>
  <si>
    <t/>
  </si>
  <si>
    <t/>
  </si>
  <si>
    <t>Pre-tax income ($M)</t>
  </si>
  <si>
    <t/>
  </si>
  <si>
    <t>Net income ($M)</t>
  </si>
  <si>
    <t/>
  </si>
  <si>
    <t>Net income to CWAN ($M)</t>
  </si>
  <si>
    <t/>
  </si>
  <si>
    <t/>
  </si>
  <si>
    <t/>
  </si>
  <si>
    <t/>
  </si>
  <si>
    <t/>
  </si>
  <si>
    <t/>
  </si>
  <si>
    <t>Property, equipment and software</t>
  </si>
  <si>
    <t>Operating lease ROU assets</t>
  </si>
  <si>
    <t>Debt issuance costs – revolver</t>
  </si>
  <si>
    <t>Accrued expenses and other</t>
  </si>
  <si>
    <t>Notes payable, current</t>
  </si>
  <si>
    <t>Operating lease liability, current</t>
  </si>
  <si>
    <t>TRA liability</t>
  </si>
  <si>
    <t>Notes payable, non-current</t>
  </si>
  <si>
    <t>Common stock (par)</t>
  </si>
  <si>
    <t>AOCI</t>
  </si>
  <si>
    <t>Retained earnings (deficit)</t>
  </si>
  <si>
    <t>Equity attributable to CWAN ($M)</t>
  </si>
  <si>
    <t>Total equity ($M)</t>
  </si>
  <si>
    <t>Total liabilities and equity ($M)</t>
  </si>
  <si>
    <t>Balance check</t>
  </si>
  <si>
    <t/>
  </si>
  <si>
    <t/>
  </si>
  <si>
    <t/>
  </si>
  <si>
    <t/>
  </si>
  <si>
    <t>Net debt / Adj. EBITDA (x)</t>
  </si>
  <si>
    <t/>
  </si>
  <si>
    <t>Net income</t>
  </si>
  <si>
    <t>Non-cash operating lease cost</t>
  </si>
  <si>
    <t>Amortization of deferred contract costs</t>
  </si>
  <si>
    <t>Deferred taxes</t>
  </si>
  <si>
    <t/>
  </si>
  <si>
    <t/>
  </si>
  <si>
    <t>Deferred contract costs capitalized</t>
  </si>
  <si>
    <t/>
  </si>
  <si>
    <t>Cash from operations ($M)</t>
  </si>
  <si>
    <t>Purchases of HTM investments</t>
  </si>
  <si>
    <t>Purchases of AFS investments</t>
  </si>
  <si>
    <t>Sales of AFS investments</t>
  </si>
  <si>
    <t>Maturities of investments</t>
  </si>
  <si>
    <t>Acquisitions, net of cash acquired</t>
  </si>
  <si>
    <t>Lease initial direct costs</t>
  </si>
  <si>
    <t>Cash from investing ($M)</t>
  </si>
  <si>
    <t>Issuance of common unit options</t>
  </si>
  <si>
    <t>Exercise of options</t>
  </si>
  <si>
    <t>Taxes on net share settlement</t>
  </si>
  <si>
    <t>Repurchase of units / stock</t>
  </si>
  <si>
    <t>ESPP proceeds</t>
  </si>
  <si>
    <t>Proceeds from borrowings</t>
  </si>
  <si>
    <t>Debt issuance costs paid</t>
  </si>
  <si>
    <t>Early debt repayment costs</t>
  </si>
  <si>
    <t>IPO proceeds, net</t>
  </si>
  <si>
    <t>Offering costs</t>
  </si>
  <si>
    <t>Tax distributions</t>
  </si>
  <si>
    <t>Acquisition holdback paid</t>
  </si>
  <si>
    <t>Cash from financing ($M)</t>
  </si>
  <si>
    <t>FX effect on cash</t>
  </si>
  <si>
    <t>Beginning cash</t>
  </si>
  <si>
    <t/>
  </si>
  <si>
    <t/>
  </si>
  <si>
    <t/>
  </si>
  <si>
    <t>Free cash flow (CFO less capex) ($M)</t>
  </si>
  <si>
    <t>FCF / Adj. EBITDA</t>
  </si>
  <si>
    <t/>
  </si>
  <si>
    <t>Cash interest paid</t>
  </si>
  <si>
    <t>Cash taxes paid</t>
  </si>
  <si>
    <t/>
  </si>
  <si>
    <t/>
  </si>
  <si>
    <t>Quarter</t>
  </si>
  <si>
    <t>LTM</t>
  </si>
  <si>
    <t>CAGR</t>
  </si>
  <si>
    <t/>
  </si>
  <si>
    <t/>
  </si>
  <si>
    <t/>
  </si>
  <si>
    <t>Live case</t>
  </si>
  <si>
    <t/>
  </si>
  <si>
    <t>Base</t>
  </si>
  <si>
    <t>Upside</t>
  </si>
  <si>
    <t>Downside</t>
  </si>
  <si>
    <t/>
  </si>
  <si>
    <t>Capex (% of revenue)</t>
  </si>
  <si>
    <t>NWC investment incl. contract costs (% of revenue)</t>
  </si>
  <si>
    <t>Contract cost amortization ($M)</t>
  </si>
  <si>
    <t>Contract cost amortization / capitalized (%)</t>
  </si>
  <si>
    <t>Acquired intangible amortization ($M)</t>
  </si>
  <si>
    <t/>
  </si>
  <si>
    <t>Interest rate on term loan (%)</t>
  </si>
  <si>
    <t>Interest income on cash (%)</t>
  </si>
  <si>
    <t>Scheduled debt repayment ($M)</t>
  </si>
  <si>
    <t>Share repurchases ($M)</t>
  </si>
  <si>
    <t>Debt issuance cost amortization ($M)</t>
  </si>
  <si>
    <t>NCI share of net income (%)</t>
  </si>
  <si>
    <t>Projected</t>
  </si>
  <si>
    <t/>
  </si>
  <si>
    <t/>
  </si>
  <si>
    <t/>
  </si>
  <si>
    <t>&lt;&lt; Held at FY27E: no margin expansion after FY27E</t>
  </si>
  <si>
    <t>&lt;&lt; FY30E held at FY29E run-rate (assumed); FY26E–FY29E per 10-K schedule</t>
  </si>
  <si>
    <t>&lt;&lt; Assumed nil (management case excludes deal costs)</t>
  </si>
  <si>
    <t>&lt;&lt; 10-K maturity schedule; I = FY31E maturity (10-Q Q1'26)</t>
  </si>
  <si>
    <t>&lt;&lt; Assumed nil; standalone forecast carries no buyback</t>
  </si>
  <si>
    <t>&lt;&lt; Assumed: Q1'26 run-rate annualized</t>
  </si>
  <si>
    <t>&lt;&lt; Assumed nil; OpCo units exchanged at close</t>
  </si>
  <si>
    <t/>
  </si>
  <si>
    <t/>
  </si>
  <si>
    <t/>
  </si>
  <si>
    <t/>
  </si>
  <si>
    <t>Adj. EBITDA, post-SBC ($M)</t>
  </si>
  <si>
    <t>(–) Depreciation (P&amp;E)</t>
  </si>
  <si>
    <t>Adj. EBIT, post-SBC ($M)</t>
  </si>
  <si>
    <t>(–) Acquired intangible amortization</t>
  </si>
  <si>
    <t/>
  </si>
  <si>
    <t>Operating income, GAAP ($M)</t>
  </si>
  <si>
    <t>(–) Interest expense</t>
  </si>
  <si>
    <t/>
  </si>
  <si>
    <t/>
  </si>
  <si>
    <t>(–) Non-controlling interests</t>
  </si>
  <si>
    <t/>
  </si>
  <si>
    <t>Deferred contract costs</t>
  </si>
  <si>
    <t/>
  </si>
  <si>
    <t/>
  </si>
  <si>
    <t>(+) SBC expense</t>
  </si>
  <si>
    <t>(+) Contract cost amortization</t>
  </si>
  <si>
    <t/>
  </si>
  <si>
    <t/>
  </si>
  <si>
    <t>(–) Contract costs capitalized</t>
  </si>
  <si>
    <t/>
  </si>
  <si>
    <t/>
  </si>
  <si>
    <t/>
  </si>
  <si>
    <t/>
  </si>
  <si>
    <t>Unlevered FCF, proxy basis ($M)</t>
  </si>
  <si>
    <t>UFCF / Adj. EBITDA</t>
  </si>
  <si>
    <t>Working capital</t>
  </si>
  <si>
    <t>NWC investment incl. contract costs</t>
  </si>
  <si>
    <t>Increase in operating NWC</t>
  </si>
  <si>
    <t>Operating NWC ($M)</t>
  </si>
  <si>
    <t>Operating NWC growth factor (x)</t>
  </si>
  <si>
    <t>Beginning balance</t>
  </si>
  <si>
    <t>(+) Capitalized</t>
  </si>
  <si>
    <t>(–) Amortization</t>
  </si>
  <si>
    <t>Ending balance ($M)</t>
  </si>
  <si>
    <t>(+) Capex</t>
  </si>
  <si>
    <t>(–) Depreciation</t>
  </si>
  <si>
    <t>% of capex</t>
  </si>
  <si>
    <t>Acquired intangibles</t>
  </si>
  <si>
    <t>Debt</t>
  </si>
  <si>
    <t>Term loan principal, beginning</t>
  </si>
  <si>
    <t>(–) Scheduled repayment</t>
  </si>
  <si>
    <t>Term loan principal, ending ($M)</t>
  </si>
  <si>
    <t>Unamortized issuance costs, beginning</t>
  </si>
  <si>
    <t>Unamortized issuance costs, ending</t>
  </si>
  <si>
    <t>Interest rate (%)</t>
  </si>
  <si>
    <t/>
  </si>
  <si>
    <t>Net debt ($M)</t>
  </si>
  <si>
    <t>Income taxes</t>
  </si>
  <si>
    <t>Taxable income (EBT plus intangible amortization)</t>
  </si>
  <si>
    <t>DTA, beginning</t>
  </si>
  <si>
    <t>DTA usage capacity</t>
  </si>
  <si>
    <t>(–) DTA utilized</t>
  </si>
  <si>
    <t>DTA, ending ($M)</t>
  </si>
  <si>
    <t>Cash taxes ($M)</t>
  </si>
  <si>
    <t>Book tax provision ($M)</t>
  </si>
  <si>
    <t>Effective tax rate (%)</t>
  </si>
  <si>
    <t>FY25–FY30</t>
  </si>
  <si>
    <t/>
  </si>
  <si>
    <t/>
  </si>
  <si>
    <t>UNLEVERED FREE CASH FLOW – PROXY DEFINITION</t>
  </si>
  <si>
    <t>Adj. EBITDA, pre-SBC</t>
  </si>
  <si>
    <t>(–) Income tax at cash rate</t>
  </si>
  <si>
    <t>(+) Tax attributes (DTA utilized)</t>
  </si>
  <si>
    <t>Income taxes, net of tax attributes</t>
  </si>
  <si>
    <t>(–) Other taxes</t>
  </si>
  <si>
    <t>(+) Depreciation</t>
  </si>
  <si>
    <t>(–) Capex</t>
  </si>
  <si>
    <t>(–) NWC investment incl. contract costs</t>
  </si>
  <si>
    <t>Unlevered FCF ($M)</t>
  </si>
  <si>
    <t>Memo: DTA, beginning</t>
  </si>
  <si>
    <t>Memo: DTA, ending</t>
  </si>
  <si>
    <t/>
  </si>
  <si>
    <t/>
  </si>
  <si>
    <t>Adj. EBIT, post-SBC</t>
  </si>
  <si>
    <t>(–) Income taxes</t>
  </si>
  <si>
    <t>NOPAT</t>
  </si>
  <si>
    <t>(–) Change in NWC</t>
  </si>
  <si>
    <t>Tax attributes</t>
  </si>
  <si>
    <t>UFCF excl. tax attributes</t>
  </si>
  <si>
    <t>UFCF pre-SBC</t>
  </si>
  <si>
    <t/>
  </si>
  <si>
    <t>SBC expense</t>
  </si>
  <si>
    <t>Contract cost amortization</t>
  </si>
  <si>
    <t>Capex</t>
  </si>
  <si>
    <t>Change in NWC</t>
  </si>
  <si>
    <t>Cumulative UFCF variance</t>
  </si>
  <si>
    <t>FREE CASH FLOW TO UNLEVERED FCF BRIDGE</t>
  </si>
  <si>
    <t>Free cash flow (CFO less capex)</t>
  </si>
  <si>
    <t>(–) SBC (cash cost in proxy UFCF)</t>
  </si>
  <si>
    <t>(+) Cash interest expense</t>
  </si>
  <si>
    <t>(–) Interest income on cash</t>
  </si>
  <si>
    <t>(+) Levered less unlevered cash taxes</t>
  </si>
  <si>
    <t>Unlevered FCF, bridged ($M)</t>
  </si>
  <si>
    <t>Difference to UFCF build</t>
  </si>
  <si>
    <t/>
  </si>
  <si>
    <t>WACC (%)</t>
  </si>
  <si>
    <t>Perpetuity growth (%)</t>
  </si>
  <si>
    <t>Mid-year adjustment (years)</t>
  </si>
  <si>
    <t>Net debt and other ($M)</t>
  </si>
  <si>
    <t>FDSO at offer (mm)</t>
  </si>
  <si>
    <t>Offer price ($)</t>
  </si>
  <si>
    <t>Discount period (years)</t>
  </si>
  <si>
    <t>Discount factor</t>
  </si>
  <si>
    <t>PV of UFCF</t>
  </si>
  <si>
    <t>Tax attributes (DTA utilized)</t>
  </si>
  <si>
    <t>PV of tax attributes</t>
  </si>
  <si>
    <t>Terminal UFCF (depreciation = capex)</t>
  </si>
  <si>
    <t>Terminal value ($M)</t>
  </si>
  <si>
    <t>PV of terminal value</t>
  </si>
  <si>
    <t>Sum of PV of UFCF</t>
  </si>
  <si>
    <t>Implied TEV ($M)</t>
  </si>
  <si>
    <t>(+) PV of tax attributes</t>
  </si>
  <si>
    <t>Implied equity value ($M)</t>
  </si>
  <si>
    <t>Implied value per share ($)</t>
  </si>
  <si>
    <t>Offer premium / (discount) to DCF (%)</t>
  </si>
  <si>
    <t>Terminal value % of TEV</t>
  </si>
  <si>
    <t>Perpetuity growth implied by offer (%)</t>
  </si>
  <si>
    <t>Implied terminal Adj. EBITDA multiple (x)</t>
  </si>
  <si>
    <t/>
  </si>
  <si>
    <t/>
  </si>
  <si>
    <t/>
  </si>
  <si>
    <t/>
  </si>
  <si>
    <t>Acquisitions</t>
  </si>
  <si>
    <t>JUMP Technology</t>
  </si>
  <si>
    <t>Wilshire analytics</t>
  </si>
  <si>
    <t>Bistro (asset deal)</t>
  </si>
  <si>
    <t>Total ($M)</t>
  </si>
  <si>
    <t>Inputs</t>
  </si>
  <si>
    <t>JUMP 2021 revenue (€M)</t>
  </si>
  <si>
    <t>JUMP consideration (€M)</t>
  </si>
  <si>
    <t>USD / EUR at JUMP close (x)</t>
  </si>
  <si>
    <t>Enfusion FY25 full-year revenue</t>
  </si>
  <si>
    <t>Beacon FY25 full-year revenue</t>
  </si>
  <si>
    <t>Wilshire annualized revenue</t>
  </si>
  <si>
    <t/>
  </si>
  <si>
    <t/>
  </si>
  <si>
    <t/>
  </si>
  <si>
    <t/>
  </si>
  <si>
    <t/>
  </si>
  <si>
    <t/>
  </si>
  <si>
    <t/>
  </si>
  <si>
    <t/>
  </si>
  <si>
    <t>Pro forma revenue incl. Enfusion and Beacon</t>
  </si>
  <si>
    <t>Pro forma organic growth (%)</t>
  </si>
  <si>
    <t/>
  </si>
  <si>
    <t>Core CWAN revenue (ex-Enfusion, Beacon)</t>
  </si>
  <si>
    <t>Core CWAN growth (%)</t>
  </si>
  <si>
    <t/>
  </si>
  <si>
    <t/>
  </si>
  <si>
    <t>Close date</t>
  </si>
  <si>
    <t>Consideration ($M)</t>
  </si>
  <si>
    <t>Intangibles ($M)</t>
  </si>
  <si>
    <t>Goodwill ($M)</t>
  </si>
  <si>
    <t>Revenue at deal ($M)</t>
  </si>
  <si>
    <t>&lt;&lt; 2021 revenue €12.1m (press release)</t>
  </si>
  <si>
    <t>&lt;&lt; ~$7m annualized revenue at signing</t>
  </si>
  <si>
    <t>&lt;&lt; Asset deal; revenue not separately disclosed</t>
  </si>
  <si>
    <t/>
  </si>
  <si>
    <t>&lt;&lt; ARR at end-2024 (press release)</t>
  </si>
  <si>
    <t>&lt;&lt; JUMP run-rate assumed flat at 2021 level for FY23 lap (assumed)</t>
  </si>
  <si>
    <t>&lt;&lt; FY22 disclosed (10-K); FY23 lap = 2021 run-rate x FX x months to anniversary (assumed)</t>
  </si>
  <si>
    <t>&lt;&lt; Annualized revenue x days owned in first 12 months (assumed pro rata)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</si>
  <si>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</si>
  <si>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</si>
  <si>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</si>
  <si>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</si>
  <si>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</si>
  <si>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</si>
  <si>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</si>
  <si>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</si>
  <si>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</si>
  <si>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</si>
  <si>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</si>
  <si>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</si>
  <si>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</si>
  <si>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</si>
  <si>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</si>
  <si>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</si>
  <si>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</si>
  <si>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</si>
  <si>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</si>
  <si>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</si>
  <si>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</si>
  <si>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</si>
  <si>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</si>
  <si>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</si>
  <si>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</si>
  <si>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</si>
  <si>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</si>
  <si>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</si>
  <si>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</si>
  <si>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</si>
  <si>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</si>
  <si>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</si>
  <si>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</si>
  <si>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</si>
  <si>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</si>
  <si>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</si>
  <si>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</si>
  <si>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</si>
  <si>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</si>
  <si>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</si>
  <si>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</si>
  <si>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</si>
  <si>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</si>
  <si>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</si>
  <si>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</si>
  <si>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</si>
  <si>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</si>
  <si>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</si>
  <si>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</si>
  <si>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</si>
  <si>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</si>
  <si>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</si>
  <si>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</si>
  <si>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</si>
  <si>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</si>
  <si>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</si>
  <si>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</si>
  <si>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</si>
  <si>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</si>
  <si>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</si>
  <si>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</si>
  <si>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</si>
  <si>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</si>
  <si>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</si>
  <si>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</si>
  <si>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</si>
  <si>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</si>
  <si>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</si>
  <si>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</si>
  <si>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</si>
  <si>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</si>
  <si>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</si>
  <si>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</si>
  <si>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</si>
  <si>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</si>
  <si>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FY21–FY25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</si>
  <si>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</si>
  <si>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</si>
  <si>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</si>
  <si>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</si>
  <si>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</si>
  <si>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</si>
  <si>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</si>
  <si>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</si>
  <si>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</si>
  <si>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</si>
  <si>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</si>
  <si>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</si>
  <si>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</si>
  <si>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</si>
  <si>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</si>
  <si>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</si>
  <si>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</si>
  <si>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</si>
  <si>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</si>
  <si>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</si>
  <si>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</si>
  <si>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</si>
  <si>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</si>
  <si>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</si>
  <si>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</si>
  <si>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</si>
  <si>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</si>
  <si>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</si>
  <si>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</si>
  <si>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</si>
  <si>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</si>
  <si>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</si>
  <si>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</si>
  <si>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</si>
  <si>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</si>
  <si>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</si>
  <si>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</si>
  <si>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</si>
  <si>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</si>
  <si>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</si>
  <si>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</si>
  <si>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</si>
  <si>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</si>
  <si>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</si>
  <si>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</si>
  <si>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</si>
  <si>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</si>
  <si>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</si>
  <si>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</si>
  <si>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</si>
  <si>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</si>
  <si>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</si>
  <si>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</si>
  <si>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</si>
  <si>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</si>
  <si>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</si>
  <si>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</si>
  <si>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</si>
  <si>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</si>
  <si>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</si>
  <si>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</si>
  <si>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</si>
  <si>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</si>
  <si>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</si>
  <si>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</si>
  <si>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</si>
  <si>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</si>
  <si>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</si>
  <si>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</si>
  <si>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</si>
  <si>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</si>
  <si>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</si>
  <si>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</si>
  <si>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</si>
  <si>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</si>
  <si>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</si>
  <si>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</si>
  <si>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</si>
  <si>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</si>
  <si>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</si>
  <si>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</si>
  <si>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</si>
  <si>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</si>
  <si>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</si>
  <si>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</si>
  <si>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</si>
  <si>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</si>
  <si>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</si>
  <si>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</si>
  <si>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</si>
  <si>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</si>
  <si>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</si>
  <si>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</si>
  <si>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</si>
  <si>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</si>
  <si>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</si>
  <si>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</si>
  <si>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</si>
  <si>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</si>
  <si>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</si>
  <si>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</si>
  <si>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</si>
  <si>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</si>
  <si>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</si>
  <si>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</si>
  <si>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</si>
  <si>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</si>
  <si>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</si>
  <si>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</si>
  <si>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</si>
  <si>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</si>
  <si>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</si>
  <si>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</si>
  <si>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</si>
  <si>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</si>
  <si>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</si>
  <si>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</si>
  <si>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</si>
  <si>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</si>
  <si>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</si>
  <si>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</si>
  <si>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</si>
  <si>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</si>
  <si>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</si>
  <si>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</si>
  <si>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</si>
  <si>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</si>
  <si>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</si>
  <si>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</si>
  <si>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</si>
  <si>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</si>
  <si>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</si>
  <si>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</si>
  <si>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</si>
  <si>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</si>
  <si>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</si>
  <si>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</si>
  <si>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</si>
  <si>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</si>
  <si>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</si>
  <si>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</si>
  <si>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</si>
  <si>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</si>
  <si>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</si>
  <si>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</si>
  <si>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</si>
  <si>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</si>
  <si>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</si>
  <si>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</si>
  <si>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</si>
  <si>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</si>
  <si>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</si>
  <si>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</si>
  <si>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</si>
  <si>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</si>
  <si>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</si>
  <si>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</si>
  <si>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</si>
  <si>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</si>
  <si>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</si>
  <si>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</si>
  <si>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</si>
  <si>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</si>
  <si>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</si>
  <si>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</si>
  <si>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</si>
  <si>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</si>
  <si>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</si>
  <si>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</si>
  <si>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</si>
  <si>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</si>
  <si>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</si>
  <si>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</si>
  <si>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</si>
  <si>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</si>
  <si>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</si>
  <si>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</si>
  <si>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</si>
  <si>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</si>
  <si>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</si>
  <si>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</si>
  <si>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</si>
  <si>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</si>
  <si>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</si>
  <si>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</si>
  <si>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</si>
  <si>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</si>
  <si>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</si>
  <si>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</si>
  <si>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</si>
  <si>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</si>
  <si>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</si>
  <si>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</si>
  <si>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</si>
  <si>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</si>
  <si>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</si>
  <si>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</si>
  <si>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</si>
  <si>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</si>
  <si>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</si>
  <si>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</si>
  <si>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</si>
  <si>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</si>
  <si>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</si>
  <si>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</si>
  <si>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</si>
  <si>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</si>
  <si>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</si>
  <si>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</si>
  <si>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</si>
  <si>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</si>
  <si>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</si>
  <si>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</si>
  <si>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</si>
  <si>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</si>
  <si>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</si>
  <si>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</si>
  <si>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</si>
  <si>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</si>
  <si>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</si>
  <si>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</si>
  <si>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</si>
  <si>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</si>
  <si>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</si>
  <si>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</si>
  <si>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</si>
  <si>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</si>
  <si>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</si>
  <si>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</si>
  <si>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</si>
  <si>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</si>
  <si>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</si>
  <si>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</si>
  <si>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</si>
  <si>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</si>
  <si>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</si>
  <si>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</si>
  <si>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</si>
  <si>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</si>
  <si>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</si>
  <si>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</si>
  <si>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</si>
  <si>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</si>
  <si>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</si>
  <si>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</si>
  <si>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</si>
  <si>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</si>
  <si>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</si>
  <si>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</si>
  <si>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</si>
  <si>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</si>
  <si>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</si>
  <si>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</si>
  <si>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</si>
  <si>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</si>
  <si>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</si>
  <si>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</si>
  <si>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</si>
  <si>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</si>
  <si>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</si>
  <si>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</si>
  <si>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</si>
  <si>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</si>
  <si>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</si>
  <si>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</si>
  <si>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</si>
  <si>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</si>
  <si>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</si>
  <si>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</si>
  <si>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</si>
  <si>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</si>
  <si>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</si>
  <si>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</si>
  <si>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</si>
  <si>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</si>
  <si>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</si>
  <si>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</si>
  <si>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</si>
  <si>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</si>
  <si>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</si>
  <si>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</si>
  <si>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</si>
  <si>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</si>
  <si>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</si>
  <si>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</si>
  <si>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</si>
  <si>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</si>
  <si>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</si>
  <si>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</si>
  <si>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</si>
  <si>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</si>
  <si>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</si>
  <si>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</si>
  <si>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</si>
  <si>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</si>
  <si>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</si>
  <si>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</si>
  <si>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</si>
  <si>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</si>
  <si>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</si>
  <si>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</si>
  <si>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</si>
  <si>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</si>
  <si>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</si>
  <si>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</si>
  <si>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</si>
  <si>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</si>
  <si>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</si>
  <si>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</si>
  <si>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</si>
  <si>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</si>
  <si>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</si>
  <si>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</si>
  <si>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</si>
  <si>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</si>
  <si>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</si>
  <si>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</si>
  <si>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</si>
  <si>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</si>
  <si>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</si>
  <si>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</si>
  <si>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</si>
  <si>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</si>
  <si>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</si>
  <si>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</si>
  <si>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</si>
  <si>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</si>
  <si>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</si>
  <si>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</si>
  <si>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</si>
  <si>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</si>
  <si>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</si>
  <si>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</si>
  <si>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</si>
  <si>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</si>
  <si>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</si>
  <si>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</si>
  <si>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</si>
  <si>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</si>
  <si>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</si>
  <si>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</si>
  <si>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</si>
  <si>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</si>
  <si>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</si>
  <si>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</si>
  <si>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</si>
  <si>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</si>
  <si>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</si>
  <si>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</si>
  <si>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</si>
  <si>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</si>
  <si>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</si>
  <si>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</si>
  <si>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</si>
  <si>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</si>
  <si>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</si>
  <si>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</si>
  <si>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</si>
  <si>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</si>
  <si>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</si>
  <si>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</si>
  <si>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</si>
  <si>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</si>
  <si>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</si>
  <si>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</si>
  <si>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</si>
  <si>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</si>
  <si>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</si>
  <si>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</si>
  <si>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</si>
  <si>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</si>
  <si>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</si>
  <si>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</si>
  <si>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</si>
  <si>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</si>
  <si>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</si>
  <si>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</si>
  <si>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</si>
  <si>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</si>
  <si>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</si>
  <si>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</si>
  <si>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</si>
  <si>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</si>
  <si>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</si>
  <si>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</si>
  <si>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</si>
  <si>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</si>
  <si>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</si>
  <si>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</si>
  <si>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</si>
  <si>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</si>
  <si>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</si>
  <si>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</si>
  <si>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</si>
  <si>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</si>
  <si>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</si>
  <si>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</si>
  <si>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</si>
  <si>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</si>
  <si>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</si>
  <si>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</si>
  <si>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</si>
  <si>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</si>
  <si>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</si>
  <si>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</si>
  <si>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</si>
  <si>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</si>
  <si>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</si>
  <si>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</si>
  <si>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</si>
  <si>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</si>
  <si>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</si>
  <si>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</si>
  <si>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</si>
  <si>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</si>
  <si>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</si>
  <si>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</si>
  <si>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</si>
  <si>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</si>
  <si>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</si>
  <si>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Live case (1 Base, 2 Upside, 3 Downside)</t>
  </si>
  <si>
    <t>Clearwater Analytics (CWAN) – Income Statement</t>
  </si>
  <si>
    <t>$ in millions; FY2021A–Q1'26A per 10-K / 10-Q as reported; FY2026E–FY2030E on the live case (Assumptions tab); standalone basis</t>
  </si>
  <si>
    <t>Clearwater Analytics (CWAN) – Balance Sheet</t>
  </si>
  <si>
    <t>$ in millions; FY2021A–Q1'26A per 10-K / 10-Q as reported (no Mar-25 balance sheet); FY2026E–FY2030E on the live case; supporting schedules below</t>
  </si>
  <si>
    <t>Clearwater Analytics (CWAN) – Cash Flow Statement</t>
  </si>
  <si>
    <t/>
  </si>
  <si>
    <t>Clearwater Analytics (CWAN) – Assumptions</t>
  </si>
  <si>
    <t>REVENUE TO OPERATING INCOME TO ADJUSTED EBITDA</t>
  </si>
  <si>
    <t>NET INCOME</t>
  </si>
  <si>
    <t>MEMO: REPORTED GAAP P&amp;L AND ADJ. EBITDA ADD-BACKS</t>
  </si>
  <si>
    <t>MEMO: PRO FORMA AND ORGANIC GROWTH CROSS-CHECKS</t>
  </si>
  <si>
    <t>ASSETS</t>
  </si>
  <si>
    <t>LIABILITIES AND EQUITY</t>
  </si>
  <si>
    <t>MEMO</t>
  </si>
  <si>
    <t>OPERATING ACTIVITIES</t>
  </si>
  <si>
    <t>INVESTING ACTIVITIES</t>
  </si>
  <si>
    <t>FINANCING ACTIVITIES</t>
  </si>
  <si>
    <t>CASH CONVERSION</t>
  </si>
  <si>
    <t/>
  </si>
  <si>
    <t/>
  </si>
  <si>
    <t>Acquired contribution to growth (pts)</t>
  </si>
  <si>
    <t/>
  </si>
  <si>
    <t/>
  </si>
  <si>
    <t/>
  </si>
  <si>
    <t/>
  </si>
  <si>
    <t>(+) Transaction, payroll tax and other</t>
  </si>
  <si>
    <t>Variance to reported</t>
  </si>
  <si>
    <t>(–) Tax receivable agreement expense</t>
  </si>
  <si>
    <t>(–) Loss on debt extinguishment</t>
  </si>
  <si>
    <t>(+) Interest and other income (expense), net</t>
  </si>
  <si>
    <t>(–) Income tax (provision) benefit</t>
  </si>
  <si>
    <t>Operating income, as reported ($M)</t>
  </si>
  <si>
    <t>Operating income above less as reported</t>
  </si>
  <si>
    <t>o/w acquired intangible amortization (in D&amp;A)</t>
  </si>
  <si>
    <t>Prepaid expenses and other (ex-contract costs)</t>
  </si>
  <si>
    <t>Deferred contract costs (current and non-current)</t>
  </si>
  <si>
    <t>Prepaid expenses and other, as reported</t>
  </si>
  <si>
    <t>o/w current deferred contract costs</t>
  </si>
  <si>
    <t>Deferred contract costs, non-current, as reported</t>
  </si>
  <si>
    <t>Debt, carrying value ($M)</t>
  </si>
  <si>
    <t>Cash and investments ($M)</t>
  </si>
  <si>
    <t>Change in operating working capital</t>
  </si>
  <si>
    <t>o/w accounts receivable</t>
  </si>
  <si>
    <t>o/w prepaid expenses and other assets</t>
  </si>
  <si>
    <t>o/w accounts payable</t>
  </si>
  <si>
    <t>o/w accrued expenses and other liabilities</t>
  </si>
  <si>
    <t>o/w TRA liability</t>
  </si>
  <si>
    <t>o/w other long-term liabilities</t>
  </si>
  <si>
    <t/>
  </si>
  <si>
    <t/>
  </si>
  <si>
    <t/>
  </si>
  <si>
    <t>ACQUISITIONS AND ACQUIRED REVENUE INPUTS (feed IS rows 17–21)</t>
  </si>
  <si>
    <t>Circularity breaker (1 on: interest on average balances; 0 off)</t>
  </si>
  <si>
    <t>Net revenue retention, organic (%)</t>
  </si>
  <si>
    <t>Gross revenue retention (%)</t>
  </si>
  <si>
    <t>New organic ARR (% of beginning organic ARR)</t>
  </si>
  <si>
    <t>Revenue / average organic ARR (x)</t>
  </si>
  <si>
    <t>Acquired ARR growth (%)</t>
  </si>
  <si>
    <t>Revenue / average acquired ARR (x)</t>
  </si>
  <si>
    <t>R&amp;D heads, year-end growth (%)</t>
  </si>
  <si>
    <t>R&amp;D loaded cost per head growth (%)</t>
  </si>
  <si>
    <t>S&amp;M heads, year-end growth (%)</t>
  </si>
  <si>
    <t>S&amp;M loaded cost per head growth (%)</t>
  </si>
  <si>
    <t>G&amp;A, non-GAAP growth (%), fixed cost</t>
  </si>
  <si>
    <t>&lt;&lt; Held at Q4'25 organic NRR ex-acquired entities (113%, 10-K FY25); assumed</t>
  </si>
  <si>
    <t>&lt;&lt; Held at the 98% disclosed in 27 of the last 28 quarters; assumed</t>
  </si>
  <si>
    <t/>
  </si>
  <si>
    <t>&lt;&lt; Calibrated so Base revenue ties to the proxy (FY24A 1.06x, FY25A 1.04x derived)</t>
  </si>
  <si>
    <t>&lt;&lt; Derived: Q2'25 to Q4'25 disclosed acquired ARR ($270.7m to $282.0m), annualized</t>
  </si>
  <si>
    <t>&lt;&lt; Derived: Enfusion + Beacon FY25 full-year revenue / Q4'25 acquired ARR</t>
  </si>
  <si>
    <t/>
  </si>
  <si>
    <t>&lt;&lt; Assumed wage inflation</t>
  </si>
  <si>
    <t/>
  </si>
  <si>
    <t/>
  </si>
  <si>
    <t>ARR BUILD (disclosed rows per 10-K / 10-Q; others derived)</t>
  </si>
  <si>
    <t>Organic ARR, beginning ($M) – derived (FY21A: disclosed FY20 ARR)</t>
  </si>
  <si>
    <t>(+) New organic ARR ($M) – derived (forecast: % of beginning)</t>
  </si>
  <si>
    <t>(+) Expansion, net of contraction ($M) – derived: beginning × (NRR – GRR)</t>
  </si>
  <si>
    <t>(–) Contraction ($M) – not disclosed separately; netted in expansion</t>
  </si>
  <si>
    <t>(–) Churn ($M) – derived: beginning × (1 – GRR)</t>
  </si>
  <si>
    <t>Organic ARR, ending ($M) – derived: total less acquired</t>
  </si>
  <si>
    <t>Acquired ARR (Enfusion, Beacon), beginning ($M)</t>
  </si>
  <si>
    <t>(+) ARR acquired at close ($M) – disclosed (Q2'25 contribution)</t>
  </si>
  <si>
    <t>(+/–) Acquired ARR change after close ($M) – derived</t>
  </si>
  <si>
    <t>Acquired ARR, ending ($M) – disclosed</t>
  </si>
  <si>
    <t>Total ARR, ending ($M) – disclosed</t>
  </si>
  <si>
    <t>Gross revenue retention (%) – disclosed (Q4 / Q1 TTM)</t>
  </si>
  <si>
    <t>Net revenue retention, organic (%) – disclosed (ex-acquired from Q2'25)</t>
  </si>
  <si>
    <t>New organic ARR (% of beginning organic ARR) – derived</t>
  </si>
  <si>
    <t>Revenue / average organic ARR (x) – derived</t>
  </si>
  <si>
    <t>Revenue / average acquired ARR (x) – driver</t>
  </si>
  <si>
    <t>Acquired ARR growth (%) – driver</t>
  </si>
  <si>
    <t>Revenue ($M) – organic + acquired, off average ARR</t>
  </si>
  <si>
    <t>Organic revenue ($M) – average organic ARR × revenue / ARR</t>
  </si>
  <si>
    <t/>
  </si>
  <si>
    <t>o/w JUMP, first 12 months (memo; in organic)</t>
  </si>
  <si>
    <t>o/w Wilshire, first 12 months (memo; in organic)</t>
  </si>
  <si>
    <t>o/w Bistro</t>
  </si>
  <si>
    <t>o/w Enfusion (FY26E: memo lap)</t>
  </si>
  <si>
    <t>o/w Beacon (FY26E: memo lap)</t>
  </si>
  <si>
    <t>(–) Hosting and other cost of revenue, non-GAAP – variable: (1 – gross margin) × revenue</t>
  </si>
  <si>
    <t>R&amp;D heads, year-end – disclosed (product development and engineering)</t>
  </si>
  <si>
    <t>Loaded cost per R&amp;D head ($000) – derived: R&amp;D / year-end heads</t>
  </si>
  <si>
    <t>(–) R&amp;D, non-GAAP – headcount: heads × loaded cost per head</t>
  </si>
  <si>
    <t>S&amp;M heads, year-end – disclosed (sales and marketing)</t>
  </si>
  <si>
    <t>Loaded cost per S&amp;M head ($000) – derived: S&amp;M / year-end heads</t>
  </si>
  <si>
    <t>(–) S&amp;M, non-GAAP – headcount: heads × loaded cost per head</t>
  </si>
  <si>
    <t>(–) G&amp;A, non-GAAP – fixed: grows at its own rate</t>
  </si>
  <si>
    <t>(–) SBC expense – as disclosed (management case, flat)</t>
  </si>
  <si>
    <t>(–) Transaction expenses – one-time, not grown</t>
  </si>
  <si>
    <t>(–) Payroll tax on equity awards, Up-C and prepaid fees (not projected)</t>
  </si>
  <si>
    <t>Organic revenue growth (%)</t>
  </si>
  <si>
    <t>Interest income on cash – average balance (circularity breaker: Assumptions!D7)</t>
  </si>
  <si>
    <t>Cash interest expense – average principal</t>
  </si>
  <si>
    <t>Ending cash ($M) – reported periods: BS cash line; projections: feeds BS cash</t>
  </si>
  <si>
    <t/>
  </si>
  <si>
    <t/>
  </si>
  <si>
    <t/>
  </si>
  <si>
    <t/>
  </si>
  <si>
    <t/>
  </si>
  <si>
    <t>Hosting and other cost of revenue: gross margin, non-GAAP (%) – COR = (1 – GM) × revenue</t>
  </si>
  <si>
    <t>SBC expense ($M) – as disclosed (DEFM14A management case)</t>
  </si>
  <si>
    <t>Transaction expenses ($M) – one-time, not grown</t>
  </si>
  <si>
    <t/>
  </si>
  <si>
    <t>Acquired revenue ($M) – avg acquired ARR × revenue / ARR</t>
  </si>
  <si>
    <t>Base = management case (DEFM14A, 8-Apr-2026; SC 13E-3 exhibit (c)(ii), 20-Dec-2025), with the ARR and cost drivers calibrated to it; Upside / Downside per SC 13E-3 exhibit (c)(ii) DCF sensitivity bounds (assumed)</t>
  </si>
  <si>
    <t>&lt;&lt; Base calibrated so revenue ties to the proxy management case; Upside / Downside set so FY28E–FY30E revenue grows ~20% / ~14% (SC 13E-3 exhibit (c)(ii) p.6 grid bounds)</t>
  </si>
  <si>
    <t>&lt;&lt; Base calibrated to management R&amp;D spend (SC 13E-3 exhibit (c)(ii) p.15 % of revenue x proxy revenue) at 3% loaded-cost growth</t>
  </si>
  <si>
    <t>&lt;&lt; Base calibrated to management S&amp;M spend (SC 13E-3 exhibit (c)(ii) p.15 % of revenue x proxy revenue) at 3% loaded-cost growth</t>
  </si>
  <si>
    <t>&lt;&lt; Base calibrated to management G&amp;A (SC 13E-3 exhibit (c)(ii) p.15 % of revenue x proxy revenue); fixed, grows at its own rate</t>
  </si>
  <si>
    <t>Management case revenue growth (%) – SC 13E-3 exhibit (c)(ii) p.15 reference; Base ARR build calibrated to proxy revenue</t>
  </si>
  <si>
    <t>Management case (SC 13E-3 exhibit (c)(ii) p.15)</t>
  </si>
  <si>
    <t>&lt;&lt; SC 13E-3 exhibit (c)(ii) p.15 management forecast</t>
  </si>
  <si>
    <t>Management case R&amp;D (% of revenue) – SC 13E-3 exhibit (c)(ii) p.15 reference; calibration target for R&amp;D heads</t>
  </si>
  <si>
    <t>Management case S&amp;M (% of revenue) – SC 13E-3 exhibit (c)(ii) p.15 reference; calibration target for S&amp;M heads</t>
  </si>
  <si>
    <t>Management case G&amp;A (% of revenue) – SC 13E-3 exhibit (c)(ii) p.15 reference; calibration target for G&amp;A growth</t>
  </si>
  <si>
    <t>&lt;&lt; FY25 full-year revenue (SC 13E-3 exhibit (c)(ii) p.10)</t>
  </si>
  <si>
    <t>&lt;&lt; Not disclosed; SC 13E-3 exhibit (c)(ii) includes Bistro in core Cascade (assumed nil)</t>
  </si>
  <si>
    <t>&lt;&lt; FY25 per 10-K Note 5; FY26E lap = SC 13E-3 exhibit (c)(ii) FY25 full-year less FY25 contribution</t>
  </si>
  <si>
    <t>SC 13E-3 exhibit (c)(ii) organic growth (%)</t>
  </si>
  <si>
    <t>&lt;&lt; SC 13E-3 exhibit (c)(ii) FY23A–FY24A not adjusted for JUMP / Wilshire</t>
  </si>
  <si>
    <t>SC 13E-3 exhibit (c)(ii) core Cascade revenue</t>
  </si>
  <si>
    <t>Variance to SC 13E-3 exhibit (c)(ii)</t>
  </si>
  <si>
    <t>$ in millions; FY2021A–Q1'26A per 10-K / 10-Q as reported; FY2026E–FY2030E on the live case; unlevered FCF reconciliation to the merger proxy (DEFM14A) and SC 13E-3 exhibit (c)(ii) below</t>
  </si>
  <si>
    <t>UNLEVERED FCF: RECONCILIATION TO MERGER PROXY (DEFM14A) AND SC 13E-3 EXHIBIT (C)(II), DCF CROSS-CHECK</t>
  </si>
  <si>
    <t>RECONCILIATION TO MERGER PROXY (DEFM14A) AND SC 13E-3 EXHIBIT (C)(II)</t>
  </si>
  <si>
    <t>Merger proxy / SC 13E-3 exhibit (c)(ii) p.15</t>
  </si>
  <si>
    <t>Model less proxy / SC 13E-3 exhibit (c)(ii)</t>
  </si>
  <si>
    <t>DCF CROSS-CHECK – SC 13E-3 EXHIBIT (C)(II) METHOD</t>
  </si>
  <si>
    <t>SC 13E-3 exhibit (c)(ii) implied TEV ($M)</t>
  </si>
  <si>
    <t>SC 13E-3 exhibit (c)(ii) implied value per share ($)</t>
  </si>
  <si>
    <t>SC 13E-3 exhibit (c)(ii) p.6 DCF value per share, Base case bound ($)</t>
  </si>
  <si>
    <t>SC 13E-3 exhibit (c)(ii) p.6 DCF value per share, Upside case bound ($)</t>
  </si>
  <si>
    <t>SC 13E-3 exhibit (c)(ii) p.6 DCF value per share, Downside case bound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</si>
</sst>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#,##0.0_);(#,##0.0);&quot;–&quot;_)"/>
    <numFmt numFmtId="165" formatCode="0.0%_);(0.0%);&quot;–&quot;_)"/>
    <numFmt numFmtId="166" formatCode="#,##0.000_);(#,##0.000);&quot;–&quot;_)"/>
    <numFmt numFmtId="167" formatCode="0.000&quot;x&quot;"/>
    <numFmt numFmtId="168" formatCode="&quot;FY&quot;yy&quot;A&quot;"/>
    <numFmt numFmtId="169" formatCode="&quot;FY&quot;yy&quot;E&quot;"/>
    <numFmt numFmtId="170" formatCode="&quot;Q1'&quot;yy&quot;A&quot;"/>
    <numFmt numFmtId="171" formatCode="$#,##0.00_);($#,##0.00)"/>
    <numFmt numFmtId="172" formatCode="d-mmm-yyyy"/>
    <numFmt numFmtId="173" formatCode="#,##0.0"/>
    <numFmt numFmtId="174" formatCode="0.0&quot;x&quot;_);(0.0&quot;x&quot;)"/>
    <numFmt numFmtId="175" formatCode="0.0&quot;x&quot;_);(0.0&quot;x&quot;);&quot;–&quot;_)"/>
    <numFmt numFmtId="176" formatCode="&quot;FY&quot;yyyy&quot;A&quot;"/>
    <numFmt numFmtId="177" formatCode="&quot;FY&quot;yyyy&quot;E&quot;"/>
    <numFmt numFmtId="178" formatCode="&quot;LTM &quot;mmm-yy"/>
    <numFmt numFmtId="179" formatCode="dd-mmm-yy"/>
    <numFmt numFmtId="180" formatCode="0.00&quot;x&quot;_);(0.00&quot;x&quot;);&quot;–&quot;_)"/>
    <numFmt numFmtId="181" formatCode="$#,##0.00_);($#,##0.00);&quot;–&quot;_)"/>
    <numFmt numFmtId="182" formatCode="0.00%_);(0.00%);&quot;–&quot;_)"/>
    <numFmt numFmtId="183" formatCode="0_);(0)"/>
    <numFmt numFmtId="184" formatCode="#,##0.000_);(#,##0.000)"/>
    <numFmt numFmtId="185" formatCode="#,##0.0_);(#,##0.0)"/>
    <numFmt numFmtId="186" formatCode="#,##0.00_);(#,##0.00);&quot;–&quot;_)"/>
    <numFmt numFmtId="187" formatCode="0.000%_);(0.000%);&quot;–&quot;_)"/>
    <numFmt numFmtId="188" formatCode="0&quot; bps&quot;;(0&quot; bps&quot;);&quot;0 bps&quot;"/>
    <numFmt numFmtId="189" formatCode="[=1]&quot;Mgmt SBC&quot;;[=2]&quot;13E-3 SBC&quot;;General"/>
    <numFmt numFmtId="190" formatCode="[=1]&quot;Base&quot;;[=2]&quot;Upside&quot;;&quot;Downside&quot;"/>
    <numFmt numFmtId="191" formatCode="0.00&quot;x&quot;"/>
    <numFmt numFmtId="192" formatCode="#,##0_);(#,##0);&quot;–&quot;_)"/>
  </numFmts>
  <fonts count="32"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4"/>
      <color rgb="FF000000"/>
      <name val="Arial"/>
      <family val="2"/>
    </font>
    <font>
      <b/>
      <sz val="14"/>
      <color rgb="FF002060"/>
      <name val="Arial"/>
      <family val="2"/>
    </font>
    <font>
      <i/>
      <sz val="10"/>
      <color rgb="FF000000"/>
      <name val="Arial"/>
      <family val="2"/>
    </font>
    <font>
      <i/>
      <sz val="10"/>
      <color rgb="FF646464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i/>
      <sz val="10"/>
      <color rgb="FF000000"/>
      <name val="Arial"/>
      <family val="2"/>
    </font>
    <font>
      <b/>
      <i/>
      <sz val="10"/>
      <color rgb="FF002060"/>
      <name val="Arial"/>
      <family val="2"/>
    </font>
    <font>
      <i/>
      <sz val="10"/>
      <color rgb="FFC00000"/>
      <name val="Arial"/>
      <family val="2"/>
    </font>
    <font>
      <b/>
      <u val="singleAccounting"/>
      <sz val="10"/>
      <color rgb="FF000000"/>
      <name val="Arial"/>
      <family val="2"/>
    </font>
    <font>
      <b/>
      <i/>
      <u val="singleAccounting"/>
      <sz val="10"/>
      <color rgb="FF000000"/>
      <name val="Arial"/>
      <family val="2"/>
    </font>
    <font>
      <b/>
      <i/>
      <u val="singleAccounting"/>
      <sz val="10"/>
      <color rgb="FF646464"/>
      <name val="Arial"/>
      <family val="2"/>
    </font>
    <font>
      <b/>
      <i/>
      <u val="singleAccounting"/>
      <sz val="9"/>
      <color rgb="FF646464"/>
      <name val="Arial"/>
      <family val="2"/>
    </font>
    <font>
      <i/>
      <sz val="9"/>
      <color rgb="FF646464"/>
      <name val="Arial"/>
      <family val="2"/>
    </font>
    <font>
      <b/>
      <sz val="10"/>
      <color rgb="FF0000FF"/>
      <name val="Arial"/>
      <family val="2"/>
    </font>
    <font>
      <sz val="10"/>
      <color rgb="FF0000FF"/>
      <name val="Arial"/>
      <family val="2"/>
    </font>
    <font>
      <sz val="10"/>
      <color rgb="FF008000"/>
      <name val="Arial"/>
      <family val="2"/>
    </font>
    <font>
      <i/>
      <sz val="10"/>
      <color rgb="FF0000FF"/>
      <name val="Arial"/>
      <family val="2"/>
    </font>
    <font>
      <i/>
      <sz val="10"/>
      <color rgb="FF008000"/>
      <name val="Arial"/>
      <family val="2"/>
    </font>
    <font>
      <b/>
      <i/>
      <sz val="9"/>
      <color rgb="FF646464"/>
      <name val="Arial"/>
      <family val="2"/>
    </font>
    <font>
      <b/>
      <u val="singleAccounting"/>
      <sz val="10"/>
      <color rgb="FF008000"/>
      <name val="Arial"/>
      <family val="2"/>
    </font>
    <font>
      <b/>
      <sz val="10"/>
      <color rgb="FF008000"/>
      <name val="Arial"/>
      <family val="2"/>
    </font>
    <font>
      <sz val="10"/>
      <color rgb="FFC00000"/>
      <name val="Arial"/>
      <family val="2"/>
    </font>
    <font>
      <b/>
      <sz val="12"/>
      <color rgb="FF000000"/>
      <name val="Arial"/>
      <family val="2"/>
    </font>
    <font>
      <b/>
      <sz val="12"/>
      <color rgb="FF002060"/>
      <name val="Arial"/>
      <family val="2"/>
    </font>
    <font>
      <b/>
      <u val="singleAccounting"/>
      <sz val="10"/>
      <color rgb="FFFFFFFF"/>
      <name val="Arial"/>
      <family val="2"/>
    </font>
    <font>
      <sz val="10"/>
      <color rgb="FF002060"/>
      <name val="Arial"/>
      <family val="2"/>
    </font>
    <font>
      <b/>
      <sz val="10"/>
      <color rgb="FF002060"/>
      <name val="Arial"/>
      <family val="2"/>
    </font>
    <font>
      <i/>
      <sz val="10"/>
      <color rgb="FF002060"/>
      <name val="Arial"/>
      <family val="2"/>
    </font>
    <font>
      <b/>
      <u val="singleAccounting"/>
      <sz val="10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E0"/>
        <bgColor indexed="64"/>
      </patternFill>
    </fill>
    <fill>
      <patternFill patternType="solid">
        <fgColor rgb="FFB4C6E7"/>
        <bgColor indexed="64"/>
      </patternFill>
    </fill>
  </fills>
  <borders count="11">
    <border>
      <left/>
      <right/>
      <top/>
      <bottom/>
      <diagonal/>
    </border>
    <border>
      <left/>
      <right/>
      <top style="thin"/>
      <bottom/>
      <diagonal/>
    </border>
    <border>
      <left/>
      <right/>
      <top style="thin">
        <color rgb="FF000000"/>
      </top>
      <bottom/>
      <diagonal/>
    </border>
    <border>
      <left/>
      <right style="thin"/>
      <top/>
      <bottom/>
      <diagonal/>
    </border>
    <border>
      <left/>
      <right style="thin"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/>
      <top style="thin"/>
      <bottom/>
      <diagonal/>
    </border>
    <border>
      <left/>
      <right/>
      <top/>
      <bottom/>
      <diagonal/>
    </border>
    <border>
      <left/>
      <right/>
      <top style="thin"/>
      <bottom/>
      <diagonal/>
    </border>
    <border>
      <left/>
      <right style="thin">
        <color rgb="FF000000"/>
      </right>
      <top style="thin"/>
      <bottom/>
      <diagonal/>
    </border>
  </borders>
  <cellStyleXfs count="1">
    <xf borderId="0" fillId="0" fontId="0" numFmtId="0" applyAlignment="1" applyFont="1" applyFill="1"/>
  </cellStyleXfs>
  <cellXfs count="186">
    <xf xfId="0" borderId="0" fillId="0" fontId="0" numFmtId="0"/>
    <xf xfId="0" borderId="0" fillId="0" fontId="0" numFmtId="0" applyAlignment="1">
      <alignment horizontal="right"/>
    </xf>
    <xf xfId="0" borderId="0" fillId="0" fontId="0" numFmtId="164" applyAlignment="1">
      <alignment horizontal="right"/>
    </xf>
    <xf xfId="0" borderId="0" fillId="0" fontId="3" numFmtId="0" applyFont="1"/>
    <xf xfId="0" borderId="0" fillId="0" fontId="4" numFmtId="0" applyFont="1"/>
    <xf xfId="0" borderId="0" fillId="0" fontId="5" numFmtId="0" applyFont="1"/>
    <xf xfId="0" borderId="0" fillId="2" fontId="7" numFmtId="0" applyFont="1" applyFill="1"/>
    <xf xfId="0" borderId="0" fillId="2" fontId="7" numFmtId="164" applyAlignment="1" applyFont="1" applyFill="1">
      <alignment horizontal="right"/>
    </xf>
    <xf xfId="0" borderId="0" fillId="0" fontId="9" numFmtId="0" applyFont="1"/>
    <xf xfId="0" borderId="2" fillId="0" fontId="1" numFmtId="0" applyFont="1"/>
    <xf xfId="0" borderId="2" fillId="0" fontId="1" numFmtId="164" applyAlignment="1" applyFont="1">
      <alignment horizontal="right"/>
    </xf>
    <xf xfId="0" borderId="0" fillId="0" fontId="4" numFmtId="164" applyAlignment="1" applyFont="1">
      <alignment horizontal="right"/>
    </xf>
    <xf xfId="0" borderId="0" fillId="0" fontId="4" numFmtId="165" applyAlignment="1" applyFont="1">
      <alignment horizontal="right"/>
    </xf>
    <xf xfId="0" borderId="0" fillId="0" fontId="10" numFmtId="0" applyFont="1"/>
    <xf xfId="0" borderId="0" fillId="0" fontId="10" numFmtId="166" applyAlignment="1" applyFont="1">
      <alignment horizontal="right"/>
    </xf>
    <xf xfId="0" borderId="0" fillId="0" fontId="0" numFmtId="167" applyAlignment="1">
      <alignment horizontal="right"/>
    </xf>
    <xf xfId="0" borderId="2" fillId="0" fontId="1" numFmtId="165" applyAlignment="1" applyFont="1">
      <alignment horizontal="right"/>
    </xf>
    <xf xfId="0" borderId="0" fillId="0" fontId="0" numFmtId="165" applyAlignment="1">
      <alignment horizontal="right"/>
    </xf>
    <xf xfId="0" borderId="0" fillId="0" fontId="10" numFmtId="165" applyAlignment="1" applyFont="1">
      <alignment horizontal="right"/>
    </xf>
    <xf xfId="0" borderId="0" fillId="0" fontId="4" numFmtId="0" applyAlignment="1" applyFont="1">
      <alignment indent="1"/>
    </xf>
    <xf xfId="0" borderId="0" fillId="0" fontId="0" numFmtId="0" applyAlignment="1">
      <alignment indent="1"/>
    </xf>
    <xf xfId="0" borderId="0" fillId="0" fontId="10" numFmtId="0" applyAlignment="1" applyFont="1">
      <alignment indent="1"/>
    </xf>
    <xf xfId="0" borderId="0" fillId="0" fontId="11" numFmtId="168" applyAlignment="1" applyFont="1">
      <alignment horizontal="center"/>
    </xf>
    <xf xfId="0" borderId="0" fillId="0" fontId="11" numFmtId="169" applyAlignment="1" applyFont="1">
      <alignment horizontal="center"/>
    </xf>
    <xf xfId="0" borderId="0" fillId="0" fontId="11" numFmtId="170" applyAlignment="1" applyFont="1">
      <alignment horizontal="center"/>
    </xf>
    <xf xfId="0" borderId="0" fillId="0" fontId="11" numFmtId="0" quotePrefix="1" applyAlignment="1" applyFont="1">
      <alignment horizontal="center"/>
    </xf>
    <xf xfId="0" borderId="0" fillId="0" fontId="11" numFmtId="0" applyAlignment="1" applyFont="1">
      <alignment horizontal="center"/>
    </xf>
    <xf xfId="0" borderId="0" fillId="0" fontId="11" numFmtId="0" applyAlignment="1" applyFont="1">
      <alignment horizontal="centerContinuous"/>
    </xf>
    <xf xfId="0" borderId="0" fillId="0" fontId="14" numFmtId="0" applyAlignment="1" applyFont="1">
      <alignment horizontal="left"/>
    </xf>
    <xf xfId="0" borderId="0" fillId="0" fontId="15" numFmtId="0" applyAlignment="1" applyFont="1">
      <alignment horizontal="left"/>
    </xf>
    <xf xfId="0" borderId="5" fillId="0" fontId="11" numFmtId="0" applyAlignment="1" applyFont="1">
      <alignment horizontal="centerContinuous"/>
    </xf>
    <xf xfId="0" borderId="5" fillId="0" fontId="11" numFmtId="168" applyAlignment="1" applyFont="1">
      <alignment horizontal="center"/>
    </xf>
    <xf xfId="0" borderId="5" fillId="0" fontId="0" numFmtId="164" applyAlignment="1">
      <alignment horizontal="right"/>
    </xf>
    <xf xfId="0" borderId="5" fillId="2" fontId="7" numFmtId="164" applyAlignment="1" applyFont="1" applyFill="1">
      <alignment horizontal="right"/>
    </xf>
    <xf xfId="0" borderId="6" fillId="0" fontId="1" numFmtId="164" applyAlignment="1" applyFont="1">
      <alignment horizontal="right"/>
    </xf>
    <xf xfId="0" borderId="5" fillId="0" fontId="4" numFmtId="165" applyAlignment="1" applyFont="1">
      <alignment horizontal="right"/>
    </xf>
    <xf xfId="0" borderId="5" fillId="0" fontId="4" numFmtId="164" applyAlignment="1" applyFont="1">
      <alignment horizontal="right"/>
    </xf>
    <xf xfId="0" borderId="5" fillId="0" fontId="10" numFmtId="166" applyAlignment="1" applyFont="1">
      <alignment horizontal="right"/>
    </xf>
    <xf xfId="0" borderId="5" fillId="0" fontId="0" numFmtId="167" applyAlignment="1">
      <alignment horizontal="right"/>
    </xf>
    <xf xfId="0" borderId="2" fillId="0" fontId="16" numFmtId="164" applyAlignment="1" applyFont="1">
      <alignment horizontal="right"/>
    </xf>
    <xf xfId="0" borderId="6" fillId="0" fontId="16" numFmtId="164" applyAlignment="1" applyFont="1">
      <alignment horizontal="right"/>
    </xf>
    <xf xfId="0" borderId="0" fillId="0" fontId="17" numFmtId="164" applyAlignment="1" applyFont="1">
      <alignment horizontal="right"/>
    </xf>
    <xf xfId="0" borderId="5" fillId="0" fontId="17" numFmtId="164" applyAlignment="1" applyFont="1">
      <alignment horizontal="right"/>
    </xf>
    <xf xfId="0" borderId="0" fillId="0" fontId="18" numFmtId="164" applyAlignment="1" applyFont="1">
      <alignment horizontal="right"/>
    </xf>
    <xf xfId="0" borderId="0" fillId="0" fontId="19" numFmtId="164" applyAlignment="1" applyFont="1">
      <alignment horizontal="right"/>
    </xf>
    <xf xfId="0" borderId="5" fillId="0" fontId="19" numFmtId="164" applyAlignment="1" applyFont="1">
      <alignment horizontal="right"/>
    </xf>
    <xf xfId="0" borderId="0" fillId="0" fontId="20" numFmtId="165" applyAlignment="1" applyFont="1">
      <alignment horizontal="right"/>
    </xf>
    <xf xfId="0" borderId="0" fillId="0" fontId="11" numFmtId="164" applyAlignment="1" applyFont="1">
      <alignment horizontal="center"/>
    </xf>
    <xf xfId="0" borderId="0" fillId="0" fontId="21" numFmtId="0" applyAlignment="1" applyFont="1">
      <alignment horizontal="left"/>
    </xf>
    <xf xfId="0" borderId="0" fillId="0" fontId="19" numFmtId="165" applyAlignment="1" applyFont="1">
      <alignment horizontal="right"/>
    </xf>
    <xf xfId="0" borderId="0" fillId="3" fontId="17" numFmtId="164" applyAlignment="1" applyFont="1" applyFill="1">
      <alignment horizontal="right"/>
    </xf>
    <xf xfId="0" borderId="0" fillId="3" fontId="17" numFmtId="1" applyAlignment="1" applyFont="1" applyFill="1">
      <alignment horizontal="right"/>
    </xf>
    <xf xfId="0" borderId="5" fillId="0" fontId="0" numFmtId="0" applyAlignment="1">
      <alignment horizontal="right"/>
    </xf>
    <xf xfId="0" borderId="5" fillId="0" fontId="18" numFmtId="164" applyAlignment="1" applyFont="1">
      <alignment horizontal="right"/>
    </xf>
    <xf xfId="0" borderId="0" fillId="2" fontId="7" numFmtId="0" applyAlignment="1" applyFont="1" applyFill="1">
      <alignment horizontal="right"/>
    </xf>
    <xf xfId="0" borderId="0" fillId="0" fontId="0" numFmtId="171" applyAlignment="1">
      <alignment horizontal="right"/>
    </xf>
    <xf xfId="0" borderId="0" fillId="0" fontId="0" numFmtId="173" applyAlignment="1">
      <alignment horizontal="right"/>
    </xf>
    <xf xfId="0" borderId="0" fillId="0" fontId="0" numFmtId="174" applyAlignment="1">
      <alignment horizontal="right"/>
    </xf>
    <xf xfId="0" borderId="0" fillId="0" fontId="17" numFmtId="171" applyAlignment="1" applyFont="1">
      <alignment horizontal="right"/>
    </xf>
    <xf xfId="0" borderId="0" fillId="0" fontId="17" numFmtId="172" applyAlignment="1" applyFont="1">
      <alignment horizontal="right"/>
    </xf>
    <xf xfId="0" borderId="0" fillId="0" fontId="17" numFmtId="165" applyAlignment="1" applyFont="1">
      <alignment horizontal="right"/>
    </xf>
    <xf xfId="0" borderId="0" fillId="0" fontId="22" numFmtId="168" applyAlignment="1" applyFont="1">
      <alignment horizontal="center"/>
    </xf>
    <xf xfId="0" borderId="0" fillId="0" fontId="22" numFmtId="169" applyAlignment="1" applyFont="1">
      <alignment horizontal="center"/>
    </xf>
    <xf xfId="0" borderId="0" fillId="0" fontId="17" numFmtId="174" applyAlignment="1" applyFont="1">
      <alignment horizontal="right"/>
    </xf>
    <xf xfId="0" borderId="0" fillId="0" fontId="0" numFmtId="166" applyAlignment="1">
      <alignment horizontal="right"/>
    </xf>
    <xf xfId="0" borderId="0" fillId="0" fontId="18" numFmtId="174" applyAlignment="1" applyFont="1">
      <alignment horizontal="right"/>
    </xf>
    <xf xfId="0" borderId="0" fillId="0" fontId="18" numFmtId="172" applyAlignment="1" applyFont="1">
      <alignment horizontal="right"/>
    </xf>
    <xf xfId="0" borderId="2" fillId="0" fontId="23" numFmtId="164" applyAlignment="1" applyFont="1">
      <alignment horizontal="right"/>
    </xf>
    <xf xfId="0" borderId="0" fillId="0" fontId="24" numFmtId="166" applyAlignment="1" applyFont="1">
      <alignment horizontal="right"/>
    </xf>
    <xf xfId="0" borderId="0" fillId="0" fontId="0" numFmtId="0" applyAlignment="1">
      <alignment horizontal="left"/>
    </xf>
    <xf xfId="0" borderId="0" fillId="0" fontId="5" numFmtId="164" applyAlignment="1" applyFont="1">
      <alignment horizontal="left"/>
    </xf>
    <xf xfId="0" borderId="0" fillId="0" fontId="0" numFmtId="0" quotePrefix="1"/>
    <xf xfId="0" borderId="0" fillId="0" fontId="1" numFmtId="0" applyFont="1"/>
    <xf xfId="0" borderId="0" fillId="0" fontId="26" numFmtId="0" applyFont="1"/>
    <xf xfId="0" borderId="0" fillId="0" fontId="0" numFmtId="164"/>
    <xf xfId="0" borderId="0" fillId="0" fontId="17" numFmtId="164" applyFont="1"/>
    <xf xfId="0" borderId="0" fillId="0" fontId="0" numFmtId="171"/>
    <xf xfId="0" borderId="0" fillId="0" fontId="0" numFmtId="165"/>
    <xf xfId="0" borderId="0" fillId="0" fontId="18" numFmtId="165" applyFont="1"/>
    <xf xfId="0" borderId="0" fillId="0" fontId="18" numFmtId="164" applyFont="1"/>
    <xf xfId="0" borderId="1" fillId="0" fontId="1" numFmtId="0" applyFont="1"/>
    <xf xfId="0" borderId="0" fillId="0" fontId="0" numFmtId="175"/>
    <xf xfId="0" borderId="0" fillId="0" fontId="18" numFmtId="175" applyFont="1"/>
    <xf xfId="0" borderId="0" fillId="0" fontId="1" numFmtId="164" applyFont="1"/>
    <xf xfId="0" borderId="1" fillId="0" fontId="1" numFmtId="164" applyFont="1"/>
    <xf xfId="0" borderId="0" fillId="0" fontId="17" numFmtId="171" applyFont="1"/>
    <xf xfId="0" borderId="0" fillId="3" fontId="17" numFmtId="164" applyFont="1" applyFill="1"/>
    <xf xfId="0" borderId="0" fillId="0" fontId="11" numFmtId="176" applyAlignment="1" applyFont="1">
      <alignment horizontal="center"/>
    </xf>
    <xf xfId="0" borderId="0" fillId="0" fontId="11" numFmtId="177" applyAlignment="1" applyFont="1">
      <alignment horizontal="center"/>
    </xf>
    <xf xfId="0" borderId="3" fillId="0" fontId="11" numFmtId="176" applyAlignment="1" applyFont="1">
      <alignment horizontal="center"/>
    </xf>
    <xf xfId="0" borderId="7" fillId="0" fontId="23" numFmtId="164" applyFont="1"/>
    <xf xfId="0" borderId="3" fillId="0" fontId="0" numFmtId="165"/>
    <xf xfId="0" borderId="7" fillId="0" fontId="1" numFmtId="0" applyFont="1"/>
    <xf xfId="0" borderId="3" fillId="0" fontId="0" numFmtId="0"/>
    <xf xfId="0" borderId="3" fillId="0" fontId="18" numFmtId="175" applyFont="1"/>
    <xf xfId="0" borderId="3" fillId="2" fontId="7" numFmtId="0" applyFont="1" applyFill="1"/>
    <xf xfId="0" borderId="3" fillId="3" fontId="17" numFmtId="164" applyFont="1" applyFill="1"/>
    <xf xfId="0" borderId="0" fillId="0" fontId="16" numFmtId="164" applyFont="1"/>
    <xf xfId="0" borderId="0" fillId="0" fontId="4" numFmtId="164" applyFont="1"/>
    <xf xfId="0" borderId="0" fillId="0" fontId="4" numFmtId="165" applyFont="1"/>
    <xf xfId="0" borderId="0" fillId="0" fontId="11" numFmtId="170" applyAlignment="1" applyFont="1">
      <alignment horizontal="center"/>
    </xf>
    <xf xfId="0" borderId="0" fillId="0" fontId="11" numFmtId="0" applyFont="1"/>
    <xf xfId="0" borderId="3" fillId="0" fontId="4" numFmtId="165" applyFont="1"/>
    <xf xfId="0" borderId="3" fillId="0" fontId="17" numFmtId="164" applyFont="1"/>
    <xf xfId="0" borderId="7" fillId="0" fontId="1" numFmtId="164" applyFont="1"/>
    <xf xfId="0" borderId="3" fillId="0" fontId="4" numFmtId="164" applyFont="1"/>
    <xf xfId="0" borderId="3" fillId="0" fontId="0" numFmtId="164"/>
    <xf xfId="0" borderId="3" fillId="0" fontId="4" numFmtId="0" applyFont="1"/>
    <xf xfId="0" borderId="3" fillId="0" fontId="18" numFmtId="164" applyFont="1"/>
    <xf xfId="0" borderId="0" fillId="0" fontId="20" numFmtId="165" applyFont="1"/>
    <xf xfId="0" borderId="3" fillId="0" fontId="20" numFmtId="165" applyFont="1"/>
    <xf xfId="0" borderId="0" fillId="0" fontId="17" numFmtId="165" applyFont="1"/>
    <xf xfId="0" borderId="3" fillId="0" fontId="17" numFmtId="165" applyFont="1"/>
    <xf xfId="0" borderId="0" fillId="4" fontId="28" numFmtId="0" applyFont="1" applyFill="1"/>
    <xf xfId="0" borderId="0" fillId="4" fontId="29" numFmtId="0" applyFont="1" applyFill="1"/>
    <xf xfId="0" borderId="3" fillId="4" fontId="29" numFmtId="0" applyFont="1" applyFill="1"/>
    <xf xfId="0" borderId="1" fillId="4" fontId="29" numFmtId="0" applyFont="1" applyFill="1"/>
    <xf xfId="0" borderId="7" fillId="4" fontId="29" numFmtId="0" applyFont="1" applyFill="1"/>
    <xf xfId="0" borderId="0" fillId="0" fontId="17" numFmtId="15" applyFont="1"/>
    <xf xfId="0" borderId="0" fillId="0" fontId="0" numFmtId="167"/>
    <xf xfId="0" borderId="1" fillId="0" fontId="23" numFmtId="165" applyFont="1"/>
    <xf xfId="0" borderId="1" fillId="0" fontId="1" numFmtId="165" applyFont="1"/>
    <xf xfId="0" borderId="0" fillId="4" fontId="29" numFmtId="0" applyAlignment="1" applyFont="1" applyFill="1"/>
    <xf xfId="0" borderId="0" fillId="3" fontId="17" numFmtId="165" applyFont="1" applyFill="1"/>
    <xf xfId="0" borderId="7" fillId="0" fontId="23" numFmtId="165" applyFont="1"/>
    <xf xfId="0" borderId="1" fillId="4" fontId="29" numFmtId="0" applyAlignment="1" applyFont="1" applyFill="1"/>
    <xf xfId="0" borderId="7" fillId="0" fontId="1" numFmtId="165" applyFont="1"/>
    <xf xfId="0" borderId="2" fillId="0" fontId="1" numFmtId="0" applyFont="1"/>
    <xf xfId="0" borderId="0" fillId="0" fontId="1" numFmtId="165" applyFont="1"/>
    <xf xfId="0" borderId="2" fillId="0" fontId="1" numFmtId="164" applyFont="1"/>
    <xf xfId="0" borderId="2" fillId="0" fontId="23" numFmtId="164" applyFont="1"/>
    <xf xfId="0" borderId="4" fillId="0" fontId="1" numFmtId="164" applyFont="1"/>
    <xf xfId="0" borderId="5" fillId="0" fontId="0" numFmtId="0"/>
    <xf xfId="0" borderId="5" fillId="0" fontId="0" numFmtId="164"/>
    <xf xfId="0" borderId="5" fillId="0" fontId="18" numFmtId="164" applyFont="1"/>
    <xf xfId="0" borderId="6" fillId="0" fontId="1" numFmtId="164" applyFont="1"/>
    <xf xfId="0" borderId="5" fillId="0" fontId="4" numFmtId="165" applyFont="1"/>
    <xf xfId="0" borderId="0" fillId="0" fontId="11" numFmtId="0" quotePrefix="1" applyFont="1"/>
    <xf xfId="0" borderId="1" fillId="0" fontId="1" numFmtId="0" quotePrefix="1" applyFont="1"/>
    <xf xfId="0" borderId="0" fillId="0" fontId="4" numFmtId="0" quotePrefix="1" applyAlignment="1" applyFont="1">
      <alignment indent="1"/>
    </xf>
    <xf xfId="0" borderId="0" fillId="0" fontId="5" numFmtId="0" quotePrefix="1" applyFont="1"/>
    <xf xfId="0" borderId="0" fillId="0" fontId="0" numFmtId="0" quotePrefix="1" applyAlignment="1">
      <alignment indent="1"/>
    </xf>
    <xf xfId="0" borderId="0" fillId="4" fontId="29" numFmtId="0" quotePrefix="1" applyFont="1" applyFill="1"/>
    <xf xfId="0" borderId="0" fillId="2" fontId="7" numFmtId="0" quotePrefix="1" applyFont="1" applyFill="1"/>
    <xf xfId="0" borderId="0" fillId="0" fontId="1" numFmtId="0" quotePrefix="1" applyFont="1"/>
    <xf xfId="0" borderId="0" fillId="0" fontId="11" numFmtId="0" quotePrefix="1" applyAlignment="1" applyFont="1">
      <alignment wrapText="1" horizontal="center"/>
    </xf>
    <xf xfId="0" borderId="0" fillId="0" fontId="0" numFmtId="0" quotePrefix="1" applyAlignment="1">
      <alignment indent="2"/>
    </xf>
    <xf xfId="0" borderId="0" fillId="0" fontId="0" numFmtId="0" applyAlignment="1">
      <alignment indent="2"/>
    </xf>
    <xf xfId="0" borderId="5" fillId="0" fontId="11" numFmtId="0" quotePrefix="1" applyFont="1"/>
    <xf xfId="0" borderId="5" fillId="0" fontId="11" numFmtId="178" applyAlignment="1" applyFont="1">
      <alignment horizontal="center"/>
    </xf>
    <xf xfId="0" borderId="5" fillId="0" fontId="20" numFmtId="165" applyFont="1"/>
    <xf xfId="0" borderId="5" fillId="0" fontId="4" numFmtId="164" applyFont="1"/>
    <xf xfId="0" borderId="5" fillId="0" fontId="18" numFmtId="175" applyFont="1"/>
    <xf xfId="0" borderId="5" fillId="2" fontId="7" numFmtId="0" applyFont="1" applyFill="1"/>
    <xf xfId="0" borderId="0" fillId="0" fontId="28" numFmtId="0" applyAlignment="1" applyFont="1"/>
    <xf xfId="0" borderId="5" fillId="0" fontId="11" numFmtId="0" applyFont="1"/>
    <xf xfId="0" borderId="5" fillId="4" fontId="28" numFmtId="0" applyFont="1" applyFill="1"/>
    <xf xfId="0" borderId="2" fillId="0" fontId="0" numFmtId="0"/>
    <xf xfId="0" borderId="6" fillId="0" fontId="0" numFmtId="0"/>
    <xf xfId="0" borderId="4" fillId="0" fontId="16" numFmtId="164" applyFont="1"/>
    <xf xfId="0" borderId="4" fillId="0" fontId="1" numFmtId="0" applyFont="1"/>
    <xf xfId="0" borderId="2" fillId="0" fontId="16" numFmtId="164" applyFont="1"/>
    <xf xfId="0" borderId="2" fillId="0" fontId="0" numFmtId="164"/>
    <xf xfId="0" borderId="6" fillId="0" fontId="0" numFmtId="164"/>
    <xf xfId="0" borderId="1" fillId="3" fontId="16" numFmtId="0" applyFont="1" applyFill="1"/>
    <xf xfId="0" borderId="3" fillId="0" fontId="0" numFmtId="191"/>
    <xf xfId="0" borderId="0" fillId="0" fontId="17" numFmtId="191" applyFont="1"/>
    <xf xfId="0" borderId="0" fillId="0" fontId="0" numFmtId="191"/>
    <xf xfId="0" borderId="7" fillId="0" fontId="1" numFmtId="191" applyFont="1"/>
    <xf xfId="0" borderId="1" fillId="0" fontId="1" numFmtId="191" applyFont="1"/>
    <xf xfId="0" borderId="1" fillId="3" fontId="16" numFmtId="1" applyFont="1" applyFill="1"/>
    <xf xfId="0" borderId="5" fillId="0" fontId="1" numFmtId="164" applyFont="1"/>
    <xf xfId="0" borderId="0" fillId="0" fontId="4" numFmtId="191" applyFont="1"/>
    <xf xfId="0" borderId="5" fillId="0" fontId="4" numFmtId="191" applyFont="1"/>
    <xf xfId="0" borderId="0" fillId="0" fontId="0" numFmtId="192"/>
    <xf xfId="0" borderId="5" fillId="0" fontId="0" numFmtId="192"/>
    <xf xfId="0" borderId="0" fillId="0" fontId="19" numFmtId="165" applyFont="1"/>
    <xf xfId="0" borderId="0" fillId="0" fontId="20" numFmtId="191" applyFont="1"/>
    <xf xfId="0" borderId="0" fillId="0" fontId="17" numFmtId="192" applyFont="1"/>
    <xf xfId="0" borderId="3" fillId="0" fontId="17" numFmtId="192" applyFont="1"/>
    <xf xfId="0" borderId="0" fillId="0" fontId="18" numFmtId="192" applyFont="1"/>
    <xf xfId="0" borderId="7" fillId="0" fontId="23" numFmtId="191" applyFont="1"/>
    <xf xfId="0" borderId="0" fillId="0" fontId="18" numFmtId="191" applyFont="1"/>
    <xf xfId="0" borderId="4" fillId="0" fontId="23" numFmtId="164" applyFont="1"/>
    <xf xfId="0" borderId="6" fillId="0" fontId="23" numFmtId="164" applyFont="1"/>
    <xf xfId="0" borderId="1" fillId="0" fontId="1" numFmtId="0" applyFont="1"/>
  </cellXfs>
  <cellStyles count="1">
    <cellStyle xfId="0" name="normal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comments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comments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comments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comments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10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1" sqref="A1"/>
    </sheetView>
  </sheetViews>
  <cols>
    <col min="1" max="1" width="2.21875" customWidth="1"/>
    <col min="2" max="2" width="54.21875" customWidth="1"/>
    <col min="3" max="9" width="13.64453125" customWidth="1"/>
  </cols>
  <sheetData>
    <row r="2">
      <c r="B2" t="s" s="73">
        <v>1327</v>
      </c>
    </row>
    <row r="3">
      <c r="B3" t="s" s="5">
        <v>1446</v>
      </c>
    </row>
    <row r="4">
      <c r="C4" t="s" s="27">
        <v>219</v>
      </c>
      <c r="D4" t="s" s="101">
        <v>647</v>
      </c>
      <c r="E4" s="101"/>
      <c r="F4" s="101"/>
      <c r="G4" s="101"/>
      <c r="H4" s="101"/>
      <c r="I4" s="101"/>
    </row>
    <row r="5">
      <c r="C5" s="89">
        <f>DATE(2025,12,31)</f>
        <v>46022</v>
      </c>
      <c r="D5" s="88">
        <f>EDATE(C5,12)</f>
        <v>46387</v>
      </c>
      <c r="E5" s="88">
        <f>EDATE(D5,12)</f>
        <v>46752</v>
      </c>
      <c r="F5" s="88">
        <f>EDATE(E5,12)</f>
        <v>47118</v>
      </c>
      <c r="G5" s="88">
        <f>EDATE(F5,12)</f>
        <v>47483</v>
      </c>
      <c r="H5" s="88">
        <f>EDATE(G5,12)</f>
        <v>47848</v>
      </c>
      <c r="I5" s="88">
        <f>EDATE(H5,12)</f>
        <v>48213</v>
      </c>
    </row>
    <row r="6">
      <c r="B6" t="s" s="80">
        <v>1320</v>
      </c>
      <c r="C6" s="92"/>
      <c r="D6" s="164">
        <v>1</v>
      </c>
      <c r="E6" t="str" s="80">
        <f>CHOOSE($D$6,"Base","Upside","Downside")</f>
        <v>Base</v>
      </c>
      <c r="F6" s="80"/>
      <c r="G6" s="80"/>
      <c r="H6" s="80"/>
      <c r="I6" s="80"/>
    </row>
    <row r="7">
      <c r="B7" t="s" s="80">
        <v>1373</v>
      </c>
      <c r="C7" s="92"/>
      <c r="D7" s="170">
        <v>1</v>
      </c>
      <c r="E7" s="80"/>
      <c r="F7" s="80"/>
      <c r="G7" s="80"/>
      <c r="H7" s="80"/>
      <c r="I7" s="80"/>
      <c r="J7"/>
      <c r="K7"/>
    </row>
    <row r="8">
      <c r="B8" t="s" s="122">
        <v>1374</v>
      </c>
      <c r="C8" s="115"/>
      <c r="D8" s="114"/>
      <c r="E8" s="114"/>
      <c r="F8" s="114"/>
      <c r="G8" s="114"/>
      <c r="H8" s="114"/>
      <c r="I8" s="114"/>
      <c r="J8"/>
      <c r="K8"/>
    </row>
    <row r="9">
      <c r="B9" t="s" s="20">
        <v>631</v>
      </c>
      <c r="C9" s="91"/>
      <c r="D9" s="111">
        <v>1.13</v>
      </c>
      <c r="E9" s="111">
        <v>1.13</v>
      </c>
      <c r="F9" s="111">
        <v>1.13</v>
      </c>
      <c r="G9" s="111">
        <v>1.13</v>
      </c>
      <c r="H9" s="111">
        <v>1.13</v>
      </c>
      <c r="I9" s="77"/>
      <c r="J9"/>
      <c r="K9" t="s">
        <v>1385</v>
      </c>
    </row>
    <row r="10">
      <c r="B10" t="s" s="20">
        <v>632</v>
      </c>
      <c r="C10" s="91"/>
      <c r="D10" s="77">
        <f>D9</f>
        <v>1.13</v>
      </c>
      <c r="E10" s="77">
        <f>E9</f>
        <v>1.13</v>
      </c>
      <c r="F10" s="77">
        <f>F9</f>
        <v>1.13</v>
      </c>
      <c r="G10" s="77">
        <f>G9</f>
        <v>1.13</v>
      </c>
      <c r="H10" s="77">
        <f>H9</f>
        <v>1.13</v>
      </c>
      <c r="I10" s="77"/>
      <c r="J10"/>
      <c r="K10"/>
    </row>
    <row r="11">
      <c r="B11" t="s" s="20">
        <v>633</v>
      </c>
      <c r="C11" s="91"/>
      <c r="D11" s="77">
        <f>D9</f>
        <v>1.13</v>
      </c>
      <c r="E11" s="77">
        <f>E9</f>
        <v>1.13</v>
      </c>
      <c r="F11" s="77">
        <f>F9</f>
        <v>1.13</v>
      </c>
      <c r="G11" s="77">
        <f>G9</f>
        <v>1.13</v>
      </c>
      <c r="H11" s="77">
        <f>H9</f>
        <v>1.13</v>
      </c>
      <c r="I11" s="77"/>
      <c r="J11"/>
      <c r="K11"/>
    </row>
    <row r="12">
      <c r="B12" t="s" s="80">
        <v>629</v>
      </c>
      <c r="C12" s="124">
        <f>IS!G26</f>
        <v>1.13</v>
      </c>
      <c r="D12" s="121">
        <f>CHOOSE($D$6,D9,D10,D11)</f>
        <v>1.13</v>
      </c>
      <c r="E12" s="121">
        <f>CHOOSE($D$6,E9,E10,E11)</f>
        <v>1.13</v>
      </c>
      <c r="F12" s="121">
        <f>CHOOSE($D$6,F9,F10,F11)</f>
        <v>1.13</v>
      </c>
      <c r="G12" s="121">
        <f>CHOOSE($D$6,G9,G10,G11)</f>
        <v>1.13</v>
      </c>
      <c r="H12" s="121">
        <f>CHOOSE($D$6,H9,H10,H11)</f>
        <v>1.13</v>
      </c>
      <c r="I12" s="121"/>
      <c r="J12"/>
      <c r="K12"/>
    </row>
    <row r="13">
      <c r="C13" s="93"/>
    </row>
    <row r="14">
      <c r="B14" t="s" s="122">
        <v>1375</v>
      </c>
      <c r="C14" s="115"/>
      <c r="D14" s="114"/>
      <c r="E14" s="114"/>
      <c r="F14" s="114"/>
      <c r="G14" s="114"/>
      <c r="H14" s="114"/>
      <c r="I14" s="114"/>
      <c r="J14"/>
      <c r="K14"/>
    </row>
    <row r="15">
      <c r="B15" t="s" s="20">
        <v>631</v>
      </c>
      <c r="C15" s="91"/>
      <c r="D15" s="111">
        <v>0.98</v>
      </c>
      <c r="E15" s="111">
        <v>0.98</v>
      </c>
      <c r="F15" s="111">
        <v>0.98</v>
      </c>
      <c r="G15" s="111">
        <v>0.98</v>
      </c>
      <c r="H15" s="111">
        <v>0.98</v>
      </c>
      <c r="I15" s="77"/>
      <c r="J15"/>
      <c r="K15" t="s">
        <v>1386</v>
      </c>
    </row>
    <row r="16">
      <c r="B16" t="s" s="20">
        <v>632</v>
      </c>
      <c r="C16" s="91"/>
      <c r="D16" s="77">
        <f>D15</f>
        <v>0.98</v>
      </c>
      <c r="E16" s="77">
        <f>E15</f>
        <v>0.98</v>
      </c>
      <c r="F16" s="77">
        <f>F15</f>
        <v>0.98</v>
      </c>
      <c r="G16" s="77">
        <f>G15</f>
        <v>0.98</v>
      </c>
      <c r="H16" s="77">
        <f>H15</f>
        <v>0.98</v>
      </c>
      <c r="I16" s="77"/>
      <c r="J16"/>
      <c r="K16"/>
    </row>
    <row r="17">
      <c r="B17" t="s" s="20">
        <v>633</v>
      </c>
      <c r="C17" s="91"/>
      <c r="D17" s="77">
        <f>D15</f>
        <v>0.98</v>
      </c>
      <c r="E17" s="77">
        <f>E15</f>
        <v>0.98</v>
      </c>
      <c r="F17" s="77">
        <f>F15</f>
        <v>0.98</v>
      </c>
      <c r="G17" s="77">
        <f>G15</f>
        <v>0.98</v>
      </c>
      <c r="H17" s="77">
        <f>H15</f>
        <v>0.98</v>
      </c>
      <c r="I17" s="77"/>
      <c r="J17"/>
      <c r="K17"/>
    </row>
    <row r="18">
      <c r="B18" t="s" s="80">
        <v>629</v>
      </c>
      <c r="C18" s="124">
        <f>IS!G25</f>
        <v>0.98</v>
      </c>
      <c r="D18" s="121">
        <f>CHOOSE($D$6,D15,D16,D17)</f>
        <v>0.98</v>
      </c>
      <c r="E18" s="121">
        <f>CHOOSE($D$6,E15,E16,E17)</f>
        <v>0.98</v>
      </c>
      <c r="F18" s="121">
        <f>CHOOSE($D$6,F15,F16,F17)</f>
        <v>0.98</v>
      </c>
      <c r="G18" s="121">
        <f>CHOOSE($D$6,G15,G16,G17)</f>
        <v>0.98</v>
      </c>
      <c r="H18" s="121">
        <f>CHOOSE($D$6,H15,H16,H17)</f>
        <v>0.98</v>
      </c>
      <c r="I18" s="121"/>
      <c r="J18"/>
      <c r="K18"/>
    </row>
    <row r="19">
      <c r="C19" s="93"/>
    </row>
    <row r="20">
      <c r="B20" t="s" s="122">
        <v>1376</v>
      </c>
      <c r="C20" s="115"/>
      <c r="D20" s="114"/>
      <c r="E20" s="114"/>
      <c r="F20" s="114"/>
      <c r="G20" s="114"/>
      <c r="H20" s="114"/>
      <c r="I20" s="114"/>
      <c r="J20"/>
      <c r="K20"/>
    </row>
    <row r="21">
      <c r="B21" t="s" s="20">
        <v>631</v>
      </c>
      <c r="C21" s="91"/>
      <c r="D21" s="111">
        <v>0.084</v>
      </c>
      <c r="E21" s="111">
        <v>0.084</v>
      </c>
      <c r="F21" s="111">
        <v>0.084</v>
      </c>
      <c r="G21" s="111">
        <v>0.084</v>
      </c>
      <c r="H21" s="111">
        <v>0.084</v>
      </c>
      <c r="I21" s="77"/>
      <c r="J21"/>
      <c r="K21" t="s">
        <v>1447</v>
      </c>
    </row>
    <row r="22">
      <c r="B22" t="s" s="20">
        <v>632</v>
      </c>
      <c r="C22" s="91"/>
      <c r="D22" s="111">
        <v>0.084</v>
      </c>
      <c r="E22" s="111">
        <v>0.084</v>
      </c>
      <c r="F22" s="111">
        <v>0.1152</v>
      </c>
      <c r="G22" s="111">
        <v>0.1152</v>
      </c>
      <c r="H22" s="111">
        <v>0.1152</v>
      </c>
      <c r="I22" s="77"/>
      <c r="J22"/>
      <c r="K22"/>
    </row>
    <row r="23">
      <c r="B23" t="s" s="20">
        <v>633</v>
      </c>
      <c r="C23" s="91"/>
      <c r="D23" s="111">
        <v>0.084</v>
      </c>
      <c r="E23" s="111">
        <v>0.084</v>
      </c>
      <c r="F23" s="111">
        <v>0.0212</v>
      </c>
      <c r="G23" s="111">
        <v>0.0212</v>
      </c>
      <c r="H23" s="111">
        <v>0.0212</v>
      </c>
      <c r="I23" s="77"/>
      <c r="J23"/>
      <c r="K23"/>
    </row>
    <row r="24">
      <c r="B24" t="s" s="80">
        <v>629</v>
      </c>
      <c r="C24" s="124">
        <f>IS!G27</f>
        <v>0.046950417329930834</v>
      </c>
      <c r="D24" s="121">
        <f>CHOOSE($D$6,D21,D22,D23)</f>
        <v>0.084</v>
      </c>
      <c r="E24" s="121">
        <f>CHOOSE($D$6,E21,E22,E23)</f>
        <v>0.084</v>
      </c>
      <c r="F24" s="121">
        <f>CHOOSE($D$6,F21,F22,F23)</f>
        <v>0.084</v>
      </c>
      <c r="G24" s="121">
        <f>CHOOSE($D$6,G21,G22,G23)</f>
        <v>0.084</v>
      </c>
      <c r="H24" s="121">
        <f>CHOOSE($D$6,H21,H22,H23)</f>
        <v>0.084</v>
      </c>
      <c r="I24" s="121"/>
      <c r="J24"/>
      <c r="K24"/>
    </row>
    <row r="25">
      <c r="C25" s="93"/>
    </row>
    <row r="26">
      <c r="B26" t="s" s="122">
        <v>1377</v>
      </c>
      <c r="C26" s="115"/>
      <c r="D26" s="114"/>
      <c r="E26" s="114"/>
      <c r="F26" s="114"/>
      <c r="G26" s="114"/>
      <c r="H26" s="114"/>
      <c r="I26" s="114"/>
      <c r="J26"/>
      <c r="K26"/>
    </row>
    <row r="27">
      <c r="B27" t="s" s="20">
        <v>631</v>
      </c>
      <c r="C27" s="165"/>
      <c r="D27" s="166">
        <v>1.049</v>
      </c>
      <c r="E27" s="166">
        <v>1.0441</v>
      </c>
      <c r="F27" s="166">
        <v>1.0477</v>
      </c>
      <c r="G27" s="166">
        <v>1.0471</v>
      </c>
      <c r="H27" s="166">
        <v>1.0443</v>
      </c>
      <c r="I27" s="77"/>
      <c r="J27"/>
      <c r="K27" t="s">
        <v>1388</v>
      </c>
    </row>
    <row r="28">
      <c r="B28" t="s" s="20">
        <v>632</v>
      </c>
      <c r="C28" s="165"/>
      <c r="D28" s="167">
        <f>D27</f>
        <v>1.049</v>
      </c>
      <c r="E28" s="167">
        <f>E27</f>
        <v>1.0441</v>
      </c>
      <c r="F28" s="167">
        <f>F27</f>
        <v>1.0477</v>
      </c>
      <c r="G28" s="167">
        <f>G27</f>
        <v>1.0471</v>
      </c>
      <c r="H28" s="167">
        <f>H27</f>
        <v>1.0443</v>
      </c>
      <c r="I28" s="77"/>
      <c r="J28"/>
      <c r="K28"/>
    </row>
    <row r="29">
      <c r="B29" t="s" s="20">
        <v>633</v>
      </c>
      <c r="C29" s="165"/>
      <c r="D29" s="167">
        <f>D27</f>
        <v>1.049</v>
      </c>
      <c r="E29" s="167">
        <f>E27</f>
        <v>1.0441</v>
      </c>
      <c r="F29" s="167">
        <f>F27</f>
        <v>1.0477</v>
      </c>
      <c r="G29" s="167">
        <f>G27</f>
        <v>1.0471</v>
      </c>
      <c r="H29" s="167">
        <f>H27</f>
        <v>1.0443</v>
      </c>
      <c r="I29" s="77"/>
      <c r="J29"/>
      <c r="K29"/>
    </row>
    <row r="30">
      <c r="B30" t="s" s="80">
        <v>629</v>
      </c>
      <c r="C30" s="181">
        <f>IS!G28</f>
        <v>1.0385439013585638</v>
      </c>
      <c r="D30" s="169">
        <f>CHOOSE($D$6,D27,D28,D29)</f>
        <v>1.049</v>
      </c>
      <c r="E30" s="169">
        <f>CHOOSE($D$6,E27,E28,E29)</f>
        <v>1.0441</v>
      </c>
      <c r="F30" s="169">
        <f>CHOOSE($D$6,F27,F28,F29)</f>
        <v>1.0477</v>
      </c>
      <c r="G30" s="169">
        <f>CHOOSE($D$6,G27,G28,G29)</f>
        <v>1.0471</v>
      </c>
      <c r="H30" s="169">
        <f>CHOOSE($D$6,H27,H28,H29)</f>
        <v>1.0443</v>
      </c>
      <c r="I30" s="121"/>
      <c r="J30"/>
      <c r="K30"/>
    </row>
    <row r="31">
      <c r="C31" s="93"/>
    </row>
    <row r="32">
      <c r="B32" t="s" s="122">
        <v>1378</v>
      </c>
      <c r="C32" s="115"/>
      <c r="D32" s="114"/>
      <c r="E32" s="114"/>
      <c r="F32" s="114"/>
      <c r="G32" s="114"/>
      <c r="H32" s="114"/>
      <c r="I32" s="114"/>
      <c r="J32"/>
      <c r="K32"/>
    </row>
    <row r="33">
      <c r="B33" t="s" s="20">
        <v>631</v>
      </c>
      <c r="C33" s="91"/>
      <c r="D33" s="78">
        <f>(IS!$G$22/IS!$G$20)^2-1</f>
        <v>0.08522978571201456</v>
      </c>
      <c r="E33" s="77">
        <f>D33</f>
        <v>0.08522978571201456</v>
      </c>
      <c r="F33" s="77">
        <f>E33</f>
        <v>0.08522978571201456</v>
      </c>
      <c r="G33" s="77">
        <f>F33</f>
        <v>0.08522978571201456</v>
      </c>
      <c r="H33" s="77">
        <f>G33</f>
        <v>0.08522978571201456</v>
      </c>
      <c r="I33" s="77"/>
      <c r="J33"/>
      <c r="K33" t="s">
        <v>1389</v>
      </c>
    </row>
    <row r="34">
      <c r="B34" t="s" s="20">
        <v>632</v>
      </c>
      <c r="C34" s="91"/>
      <c r="D34" s="77">
        <f>D33</f>
        <v>0.08522978571201456</v>
      </c>
      <c r="E34" s="77">
        <f>E33</f>
        <v>0.08522978571201456</v>
      </c>
      <c r="F34" s="77">
        <f>F33</f>
        <v>0.08522978571201456</v>
      </c>
      <c r="G34" s="77">
        <f>G33</f>
        <v>0.08522978571201456</v>
      </c>
      <c r="H34" s="77">
        <f>H33</f>
        <v>0.08522978571201456</v>
      </c>
      <c r="I34" s="77"/>
      <c r="J34"/>
      <c r="K34"/>
    </row>
    <row r="35">
      <c r="B35" t="s" s="20">
        <v>633</v>
      </c>
      <c r="C35" s="91"/>
      <c r="D35" s="77">
        <f>D33</f>
        <v>0.08522978571201456</v>
      </c>
      <c r="E35" s="77">
        <f>E33</f>
        <v>0.08522978571201456</v>
      </c>
      <c r="F35" s="77">
        <f>F33</f>
        <v>0.08522978571201456</v>
      </c>
      <c r="G35" s="77">
        <f>G33</f>
        <v>0.08522978571201456</v>
      </c>
      <c r="H35" s="77">
        <f>H33</f>
        <v>0.08522978571201456</v>
      </c>
      <c r="I35" s="77"/>
      <c r="J35"/>
      <c r="K35"/>
    </row>
    <row r="36">
      <c r="B36" t="s" s="80">
        <v>629</v>
      </c>
      <c r="C36" s="126"/>
      <c r="D36" s="121">
        <f>CHOOSE($D$6,D33,D34,D35)</f>
        <v>0.08522978571201456</v>
      </c>
      <c r="E36" s="121">
        <f>CHOOSE($D$6,E33,E34,E35)</f>
        <v>0.08522978571201456</v>
      </c>
      <c r="F36" s="121">
        <f>CHOOSE($D$6,F33,F34,F35)</f>
        <v>0.08522978571201456</v>
      </c>
      <c r="G36" s="121">
        <f>CHOOSE($D$6,G33,G34,G35)</f>
        <v>0.08522978571201456</v>
      </c>
      <c r="H36" s="121">
        <f>CHOOSE($D$6,H33,H34,H35)</f>
        <v>0.08522978571201456</v>
      </c>
      <c r="I36" s="121"/>
      <c r="J36"/>
      <c r="K36"/>
    </row>
    <row r="37">
      <c r="C37" s="93"/>
    </row>
    <row r="38">
      <c r="B38" t="s" s="122">
        <v>1379</v>
      </c>
      <c r="C38" s="115"/>
      <c r="D38" s="114"/>
      <c r="E38" s="114"/>
      <c r="F38" s="114"/>
      <c r="G38" s="114"/>
      <c r="H38" s="114"/>
      <c r="I38" s="114"/>
      <c r="J38"/>
      <c r="K38"/>
    </row>
    <row r="39">
      <c r="B39" t="s" s="20">
        <v>631</v>
      </c>
      <c r="C39" s="165"/>
      <c r="D39" s="182">
        <f>($D$208+$D$209)/IS!$G$22</f>
        <v>0.9893617021276596</v>
      </c>
      <c r="E39" s="167">
        <f>D39</f>
        <v>0.9893617021276596</v>
      </c>
      <c r="F39" s="167">
        <f>E39</f>
        <v>0.9893617021276596</v>
      </c>
      <c r="G39" s="167">
        <f>F39</f>
        <v>0.9893617021276596</v>
      </c>
      <c r="H39" s="167">
        <f>G39</f>
        <v>0.9893617021276596</v>
      </c>
      <c r="I39" s="77"/>
      <c r="J39"/>
      <c r="K39" t="s">
        <v>1390</v>
      </c>
    </row>
    <row r="40">
      <c r="B40" t="s" s="20">
        <v>632</v>
      </c>
      <c r="C40" s="165"/>
      <c r="D40" s="167">
        <f>D39</f>
        <v>0.9893617021276596</v>
      </c>
      <c r="E40" s="167">
        <f>E39</f>
        <v>0.9893617021276596</v>
      </c>
      <c r="F40" s="167">
        <f>F39</f>
        <v>0.9893617021276596</v>
      </c>
      <c r="G40" s="167">
        <f>G39</f>
        <v>0.9893617021276596</v>
      </c>
      <c r="H40" s="167">
        <f>H39</f>
        <v>0.9893617021276596</v>
      </c>
      <c r="I40" s="77"/>
      <c r="J40"/>
      <c r="K40"/>
    </row>
    <row r="41">
      <c r="B41" t="s" s="20">
        <v>633</v>
      </c>
      <c r="C41" s="165"/>
      <c r="D41" s="167">
        <f>D39</f>
        <v>0.9893617021276596</v>
      </c>
      <c r="E41" s="167">
        <f>E39</f>
        <v>0.9893617021276596</v>
      </c>
      <c r="F41" s="167">
        <f>F39</f>
        <v>0.9893617021276596</v>
      </c>
      <c r="G41" s="167">
        <f>G39</f>
        <v>0.9893617021276596</v>
      </c>
      <c r="H41" s="167">
        <f>H39</f>
        <v>0.9893617021276596</v>
      </c>
      <c r="I41" s="77"/>
      <c r="J41"/>
      <c r="K41"/>
    </row>
    <row r="42">
      <c r="B42" t="s" s="80">
        <v>629</v>
      </c>
      <c r="C42" s="168"/>
      <c r="D42" s="169">
        <f>CHOOSE($D$6,D39,D40,D41)</f>
        <v>0.9893617021276596</v>
      </c>
      <c r="E42" s="169">
        <f>CHOOSE($D$6,E39,E40,E41)</f>
        <v>0.9893617021276596</v>
      </c>
      <c r="F42" s="169">
        <f>CHOOSE($D$6,F39,F40,F41)</f>
        <v>0.9893617021276596</v>
      </c>
      <c r="G42" s="169">
        <f>CHOOSE($D$6,G39,G40,G41)</f>
        <v>0.9893617021276596</v>
      </c>
      <c r="H42" s="169">
        <f>CHOOSE($D$6,H39,H40,H41)</f>
        <v>0.9893617021276596</v>
      </c>
      <c r="I42" s="121"/>
      <c r="J42"/>
      <c r="K42"/>
    </row>
    <row r="43">
      <c r="C43" s="93"/>
    </row>
    <row r="44">
      <c r="B44" t="s" s="122">
        <v>1380</v>
      </c>
      <c r="C44" s="115"/>
      <c r="D44" s="114"/>
      <c r="E44" s="114"/>
      <c r="F44" s="114"/>
      <c r="G44" s="114"/>
      <c r="H44" s="114"/>
      <c r="I44" s="114"/>
      <c r="J44"/>
      <c r="K44"/>
    </row>
    <row r="45">
      <c r="B45" t="s" s="20">
        <v>631</v>
      </c>
      <c r="C45" s="91"/>
      <c r="D45" s="111">
        <v>0.1994</v>
      </c>
      <c r="E45" s="111">
        <v>0.1089</v>
      </c>
      <c r="F45" s="111">
        <v>0.1232</v>
      </c>
      <c r="G45" s="111">
        <v>0.1165</v>
      </c>
      <c r="H45" s="111">
        <v>0.1459</v>
      </c>
      <c r="I45" s="77"/>
      <c r="J45"/>
      <c r="K45" t="s">
        <v>1448</v>
      </c>
    </row>
    <row r="46">
      <c r="B46" t="s" s="20">
        <v>632</v>
      </c>
      <c r="C46" s="91"/>
      <c r="D46" s="77">
        <f>D45</f>
        <v>0.1994</v>
      </c>
      <c r="E46" s="77">
        <f>E45</f>
        <v>0.1089</v>
      </c>
      <c r="F46" s="77">
        <f>F45</f>
        <v>0.1232</v>
      </c>
      <c r="G46" s="77">
        <f>G45</f>
        <v>0.1165</v>
      </c>
      <c r="H46" s="77">
        <f>H45</f>
        <v>0.1459</v>
      </c>
      <c r="I46" s="77"/>
      <c r="J46"/>
      <c r="K46"/>
    </row>
    <row r="47">
      <c r="B47" t="s" s="20">
        <v>633</v>
      </c>
      <c r="C47" s="91"/>
      <c r="D47" s="77">
        <f>D45</f>
        <v>0.1994</v>
      </c>
      <c r="E47" s="77">
        <f>E45</f>
        <v>0.1089</v>
      </c>
      <c r="F47" s="77">
        <f>F45</f>
        <v>0.1232</v>
      </c>
      <c r="G47" s="77">
        <f>G45</f>
        <v>0.1165</v>
      </c>
      <c r="H47" s="77">
        <f>H45</f>
        <v>0.1459</v>
      </c>
      <c r="I47" s="77"/>
      <c r="J47"/>
      <c r="K47"/>
    </row>
    <row r="48">
      <c r="B48" t="s" s="80">
        <v>629</v>
      </c>
      <c r="C48" s="124">
        <f>IS!G48/IS!F48-1</f>
        <v>0.44598765432098775</v>
      </c>
      <c r="D48" s="121">
        <f>CHOOSE($D$6,D45,D46,D47)</f>
        <v>0.1994</v>
      </c>
      <c r="E48" s="121">
        <f>CHOOSE($D$6,E45,E46,E47)</f>
        <v>0.1089</v>
      </c>
      <c r="F48" s="121">
        <f>CHOOSE($D$6,F45,F46,F47)</f>
        <v>0.1232</v>
      </c>
      <c r="G48" s="121">
        <f>CHOOSE($D$6,G45,G46,G47)</f>
        <v>0.1165</v>
      </c>
      <c r="H48" s="121">
        <f>CHOOSE($D$6,H45,H46,H47)</f>
        <v>0.1459</v>
      </c>
      <c r="I48" s="121"/>
      <c r="J48"/>
      <c r="K48"/>
    </row>
    <row r="49">
      <c r="C49" s="93"/>
    </row>
    <row r="50">
      <c r="B50" t="s" s="122">
        <v>1381</v>
      </c>
      <c r="C50" s="115"/>
      <c r="D50" s="114"/>
      <c r="E50" s="114"/>
      <c r="F50" s="114"/>
      <c r="G50" s="114"/>
      <c r="H50" s="114"/>
      <c r="I50" s="114"/>
      <c r="J50"/>
      <c r="K50"/>
    </row>
    <row r="51">
      <c r="B51" t="s" s="20">
        <v>631</v>
      </c>
      <c r="C51" s="91"/>
      <c r="D51" s="111">
        <v>0.03</v>
      </c>
      <c r="E51" s="111">
        <v>0.03</v>
      </c>
      <c r="F51" s="111">
        <v>0.03</v>
      </c>
      <c r="G51" s="111">
        <v>0.03</v>
      </c>
      <c r="H51" s="111">
        <v>0.03</v>
      </c>
      <c r="I51" s="77"/>
      <c r="J51"/>
      <c r="K51" t="s">
        <v>1392</v>
      </c>
    </row>
    <row r="52">
      <c r="B52" t="s" s="20">
        <v>632</v>
      </c>
      <c r="C52" s="91"/>
      <c r="D52" s="77">
        <f>D51</f>
        <v>0.03</v>
      </c>
      <c r="E52" s="77">
        <f>E51</f>
        <v>0.03</v>
      </c>
      <c r="F52" s="77">
        <f>F51</f>
        <v>0.03</v>
      </c>
      <c r="G52" s="77">
        <f>G51</f>
        <v>0.03</v>
      </c>
      <c r="H52" s="77">
        <f>H51</f>
        <v>0.03</v>
      </c>
      <c r="I52" s="77"/>
      <c r="J52"/>
      <c r="K52"/>
    </row>
    <row r="53">
      <c r="B53" t="s" s="20">
        <v>633</v>
      </c>
      <c r="C53" s="91"/>
      <c r="D53" s="77">
        <f>D51</f>
        <v>0.03</v>
      </c>
      <c r="E53" s="77">
        <f>E51</f>
        <v>0.03</v>
      </c>
      <c r="F53" s="77">
        <f>F51</f>
        <v>0.03</v>
      </c>
      <c r="G53" s="77">
        <f>G51</f>
        <v>0.03</v>
      </c>
      <c r="H53" s="77">
        <f>H51</f>
        <v>0.03</v>
      </c>
      <c r="I53" s="77"/>
      <c r="J53"/>
      <c r="K53"/>
    </row>
    <row r="54">
      <c r="B54" t="s" s="80">
        <v>629</v>
      </c>
      <c r="C54" s="124">
        <f>IS!G49/IS!F49-1</f>
        <v>0.013972813970535292</v>
      </c>
      <c r="D54" s="121">
        <f>CHOOSE($D$6,D51,D52,D53)</f>
        <v>0.03</v>
      </c>
      <c r="E54" s="121">
        <f>CHOOSE($D$6,E51,E52,E53)</f>
        <v>0.03</v>
      </c>
      <c r="F54" s="121">
        <f>CHOOSE($D$6,F51,F52,F53)</f>
        <v>0.03</v>
      </c>
      <c r="G54" s="121">
        <f>CHOOSE($D$6,G51,G52,G53)</f>
        <v>0.03</v>
      </c>
      <c r="H54" s="121">
        <f>CHOOSE($D$6,H51,H52,H53)</f>
        <v>0.03</v>
      </c>
      <c r="I54" s="121"/>
      <c r="J54"/>
      <c r="K54"/>
    </row>
    <row r="55">
      <c r="C55" s="93"/>
    </row>
    <row r="56">
      <c r="B56" t="s" s="122">
        <v>1382</v>
      </c>
      <c r="C56" s="115"/>
      <c r="D56" s="114"/>
      <c r="E56" s="114"/>
      <c r="F56" s="114"/>
      <c r="G56" s="114"/>
      <c r="H56" s="114"/>
      <c r="I56" s="114"/>
      <c r="J56"/>
      <c r="K56"/>
    </row>
    <row r="57">
      <c r="B57" t="s" s="20">
        <v>631</v>
      </c>
      <c r="C57" s="91"/>
      <c r="D57" s="111">
        <v>0.2773</v>
      </c>
      <c r="E57" s="111">
        <v>0.1361</v>
      </c>
      <c r="F57" s="111">
        <v>0.1456</v>
      </c>
      <c r="G57" s="111">
        <v>0.1452</v>
      </c>
      <c r="H57" s="111">
        <v>0.1459</v>
      </c>
      <c r="I57" s="77"/>
      <c r="J57"/>
      <c r="K57" t="s">
        <v>1449</v>
      </c>
    </row>
    <row r="58">
      <c r="B58" t="s" s="20">
        <v>632</v>
      </c>
      <c r="C58" s="91"/>
      <c r="D58" s="77">
        <f>D57</f>
        <v>0.2773</v>
      </c>
      <c r="E58" s="77">
        <f>E57</f>
        <v>0.1361</v>
      </c>
      <c r="F58" s="77">
        <f>F57</f>
        <v>0.1456</v>
      </c>
      <c r="G58" s="77">
        <f>G57</f>
        <v>0.1452</v>
      </c>
      <c r="H58" s="77">
        <f>H57</f>
        <v>0.1459</v>
      </c>
      <c r="I58" s="77"/>
      <c r="J58"/>
      <c r="K58"/>
    </row>
    <row r="59">
      <c r="B59" t="s" s="20">
        <v>633</v>
      </c>
      <c r="C59" s="91"/>
      <c r="D59" s="77">
        <f>D57</f>
        <v>0.2773</v>
      </c>
      <c r="E59" s="77">
        <f>E57</f>
        <v>0.1361</v>
      </c>
      <c r="F59" s="77">
        <f>F57</f>
        <v>0.1456</v>
      </c>
      <c r="G59" s="77">
        <f>G57</f>
        <v>0.1452</v>
      </c>
      <c r="H59" s="77">
        <f>H57</f>
        <v>0.1459</v>
      </c>
      <c r="I59" s="77"/>
      <c r="J59"/>
      <c r="K59"/>
    </row>
    <row r="60">
      <c r="B60" t="s" s="80">
        <v>629</v>
      </c>
      <c r="C60" s="124">
        <f>IS!G52/IS!F52-1</f>
        <v>0.4801980198019802</v>
      </c>
      <c r="D60" s="121">
        <f>CHOOSE($D$6,D57,D58,D59)</f>
        <v>0.2773</v>
      </c>
      <c r="E60" s="121">
        <f>CHOOSE($D$6,E57,E58,E59)</f>
        <v>0.1361</v>
      </c>
      <c r="F60" s="121">
        <f>CHOOSE($D$6,F57,F58,F59)</f>
        <v>0.1456</v>
      </c>
      <c r="G60" s="121">
        <f>CHOOSE($D$6,G57,G58,G59)</f>
        <v>0.1452</v>
      </c>
      <c r="H60" s="121">
        <f>CHOOSE($D$6,H57,H58,H59)</f>
        <v>0.1459</v>
      </c>
      <c r="I60" s="121"/>
      <c r="J60"/>
      <c r="K60"/>
    </row>
    <row r="61">
      <c r="C61" s="93"/>
    </row>
    <row r="62">
      <c r="B62" t="s" s="122">
        <v>1383</v>
      </c>
      <c r="C62" s="115"/>
      <c r="D62" s="114"/>
      <c r="E62" s="114"/>
      <c r="F62" s="114"/>
      <c r="G62" s="114"/>
      <c r="H62" s="114"/>
      <c r="I62" s="114"/>
      <c r="J62"/>
      <c r="K62"/>
    </row>
    <row r="63">
      <c r="B63" t="s" s="20">
        <v>631</v>
      </c>
      <c r="C63" s="91"/>
      <c r="D63" s="111">
        <v>0.03</v>
      </c>
      <c r="E63" s="111">
        <v>0.03</v>
      </c>
      <c r="F63" s="111">
        <v>0.03</v>
      </c>
      <c r="G63" s="111">
        <v>0.03</v>
      </c>
      <c r="H63" s="111">
        <v>0.03</v>
      </c>
      <c r="I63" s="77"/>
      <c r="J63"/>
      <c r="K63" t="s">
        <v>1392</v>
      </c>
    </row>
    <row r="64">
      <c r="B64" t="s" s="20">
        <v>632</v>
      </c>
      <c r="C64" s="91"/>
      <c r="D64" s="77">
        <f>D63</f>
        <v>0.03</v>
      </c>
      <c r="E64" s="77">
        <f>E63</f>
        <v>0.03</v>
      </c>
      <c r="F64" s="77">
        <f>F63</f>
        <v>0.03</v>
      </c>
      <c r="G64" s="77">
        <f>G63</f>
        <v>0.03</v>
      </c>
      <c r="H64" s="77">
        <f>H63</f>
        <v>0.03</v>
      </c>
      <c r="I64" s="77"/>
      <c r="J64"/>
      <c r="K64"/>
    </row>
    <row r="65">
      <c r="B65" t="s" s="20">
        <v>633</v>
      </c>
      <c r="C65" s="91"/>
      <c r="D65" s="77">
        <f>D63</f>
        <v>0.03</v>
      </c>
      <c r="E65" s="77">
        <f>E63</f>
        <v>0.03</v>
      </c>
      <c r="F65" s="77">
        <f>F63</f>
        <v>0.03</v>
      </c>
      <c r="G65" s="77">
        <f>G63</f>
        <v>0.03</v>
      </c>
      <c r="H65" s="77">
        <f>H63</f>
        <v>0.03</v>
      </c>
      <c r="I65" s="77"/>
      <c r="J65"/>
      <c r="K65"/>
    </row>
    <row r="66">
      <c r="B66" t="s" s="80">
        <v>629</v>
      </c>
      <c r="C66" s="124">
        <f>IS!G53/IS!F53-1</f>
        <v>0.24020416018109714</v>
      </c>
      <c r="D66" s="121">
        <f>CHOOSE($D$6,D63,D64,D65)</f>
        <v>0.03</v>
      </c>
      <c r="E66" s="121">
        <f>CHOOSE($D$6,E63,E64,E65)</f>
        <v>0.03</v>
      </c>
      <c r="F66" s="121">
        <f>CHOOSE($D$6,F63,F64,F65)</f>
        <v>0.03</v>
      </c>
      <c r="G66" s="121">
        <f>CHOOSE($D$6,G63,G64,G65)</f>
        <v>0.03</v>
      </c>
      <c r="H66" s="121">
        <f>CHOOSE($D$6,H63,H64,H65)</f>
        <v>0.03</v>
      </c>
      <c r="I66" s="121"/>
      <c r="J66"/>
      <c r="K66"/>
    </row>
    <row r="67">
      <c r="C67" s="93"/>
    </row>
    <row r="68">
      <c r="B68" t="s" s="122">
        <v>1384</v>
      </c>
      <c r="C68" s="115"/>
      <c r="D68" s="114"/>
      <c r="E68" s="114"/>
      <c r="F68" s="114"/>
      <c r="G68" s="114"/>
      <c r="H68" s="114"/>
      <c r="I68" s="114"/>
      <c r="J68"/>
      <c r="K68"/>
    </row>
    <row r="69">
      <c r="B69" t="s" s="20">
        <v>631</v>
      </c>
      <c r="C69" s="91"/>
      <c r="D69" s="111">
        <v>0.1191</v>
      </c>
      <c r="E69" s="111">
        <v>0.0372</v>
      </c>
      <c r="F69" s="111">
        <v>0.0287</v>
      </c>
      <c r="G69" s="111">
        <v>0.0928</v>
      </c>
      <c r="H69" s="111">
        <v>0.1241</v>
      </c>
      <c r="I69" s="77"/>
      <c r="J69"/>
      <c r="K69" t="s">
        <v>1450</v>
      </c>
    </row>
    <row r="70">
      <c r="B70" t="s" s="20">
        <v>632</v>
      </c>
      <c r="C70" s="91"/>
      <c r="D70" s="77">
        <f>D69</f>
        <v>0.1191</v>
      </c>
      <c r="E70" s="77">
        <f>E69</f>
        <v>0.0372</v>
      </c>
      <c r="F70" s="77">
        <f>F69</f>
        <v>0.0287</v>
      </c>
      <c r="G70" s="77">
        <f>G69</f>
        <v>0.0928</v>
      </c>
      <c r="H70" s="77">
        <f>H69</f>
        <v>0.1241</v>
      </c>
      <c r="I70" s="77"/>
      <c r="J70"/>
      <c r="K70"/>
    </row>
    <row r="71">
      <c r="B71" t="s" s="20">
        <v>633</v>
      </c>
      <c r="C71" s="91"/>
      <c r="D71" s="77">
        <f>D69</f>
        <v>0.1191</v>
      </c>
      <c r="E71" s="77">
        <f>E69</f>
        <v>0.0372</v>
      </c>
      <c r="F71" s="77">
        <f>F69</f>
        <v>0.0287</v>
      </c>
      <c r="G71" s="77">
        <f>G69</f>
        <v>0.0928</v>
      </c>
      <c r="H71" s="77">
        <f>H69</f>
        <v>0.1241</v>
      </c>
      <c r="I71" s="77"/>
      <c r="J71"/>
      <c r="K71"/>
    </row>
    <row r="72">
      <c r="B72" t="s" s="80">
        <v>629</v>
      </c>
      <c r="C72" s="124">
        <f>IS!G56/IS!F56-1</f>
        <v>0.5158941755537327</v>
      </c>
      <c r="D72" s="121">
        <f>CHOOSE($D$6,D69,D70,D71)</f>
        <v>0.1191</v>
      </c>
      <c r="E72" s="121">
        <f>CHOOSE($D$6,E69,E70,E71)</f>
        <v>0.0372</v>
      </c>
      <c r="F72" s="121">
        <f>CHOOSE($D$6,F69,F70,F71)</f>
        <v>0.0287</v>
      </c>
      <c r="G72" s="121">
        <f>CHOOSE($D$6,G69,G70,G71)</f>
        <v>0.0928</v>
      </c>
      <c r="H72" s="121">
        <f>CHOOSE($D$6,H69,H70,H71)</f>
        <v>0.1241</v>
      </c>
      <c r="I72" s="121"/>
      <c r="J72"/>
      <c r="K72"/>
    </row>
    <row r="73">
      <c r="C73" s="93"/>
    </row>
    <row r="74">
      <c r="B74" t="s" s="122">
        <v>1451</v>
      </c>
      <c r="C74" s="115"/>
      <c r="D74" s="114"/>
      <c r="E74" s="114"/>
      <c r="F74" s="114"/>
      <c r="G74" s="114"/>
      <c r="H74" s="114"/>
      <c r="I74" s="114"/>
    </row>
    <row r="75">
      <c r="B75" t="s" s="20">
        <v>1452</v>
      </c>
      <c r="C75" s="91"/>
      <c r="D75" s="111">
        <v>0.287</v>
      </c>
      <c r="E75" s="111">
        <v>0.17</v>
      </c>
      <c r="F75" s="111">
        <v>0.18</v>
      </c>
      <c r="G75" s="111">
        <v>0.18</v>
      </c>
      <c r="H75" s="111">
        <v>0.18</v>
      </c>
      <c r="I75" s="77"/>
      <c r="K75" t="s" s="5">
        <v>1453</v>
      </c>
    </row>
    <row r="76">
      <c r="C76" s="93"/>
    </row>
    <row r="77">
      <c r="B77" t="s" s="122">
        <v>1441</v>
      </c>
      <c r="C77" s="115"/>
      <c r="D77" s="114"/>
      <c r="E77" s="114"/>
      <c r="F77" s="114"/>
      <c r="G77" s="114"/>
      <c r="H77" s="114"/>
      <c r="I77" s="114"/>
    </row>
    <row r="78">
      <c r="B78" t="s" s="20">
        <v>631</v>
      </c>
      <c r="C78" s="91"/>
      <c r="D78" s="111">
        <v>0.787</v>
      </c>
      <c r="E78" s="111">
        <v>0.792</v>
      </c>
      <c r="F78" s="111">
        <v>0.797</v>
      </c>
      <c r="G78" s="111">
        <v>0.802</v>
      </c>
      <c r="H78" s="111">
        <v>0.807</v>
      </c>
      <c r="I78" s="77"/>
    </row>
    <row r="79">
      <c r="B79" t="s" s="20">
        <v>632</v>
      </c>
      <c r="C79" s="91"/>
      <c r="D79" s="77">
        <f>D78</f>
        <v>0.787</v>
      </c>
      <c r="E79" s="77">
        <f>E78</f>
        <v>0.792</v>
      </c>
      <c r="F79" s="77">
        <f>F78</f>
        <v>0.797</v>
      </c>
      <c r="G79" s="77">
        <f>G78</f>
        <v>0.802</v>
      </c>
      <c r="H79" s="77">
        <f>H78</f>
        <v>0.807</v>
      </c>
      <c r="I79" s="77"/>
    </row>
    <row r="80">
      <c r="B80" t="s" s="20">
        <v>633</v>
      </c>
      <c r="C80" s="91"/>
      <c r="D80" s="77">
        <f>D78</f>
        <v>0.787</v>
      </c>
      <c r="E80" s="77">
        <f>E78</f>
        <v>0.792</v>
      </c>
      <c r="F80" s="77">
        <f>$E78</f>
        <v>0.792</v>
      </c>
      <c r="G80" s="77">
        <f>$E78</f>
        <v>0.792</v>
      </c>
      <c r="H80" s="77">
        <f>$E78</f>
        <v>0.792</v>
      </c>
      <c r="I80" s="77"/>
      <c r="K80" t="s" s="5">
        <v>651</v>
      </c>
    </row>
    <row r="81">
      <c r="B81" t="s" s="80">
        <v>629</v>
      </c>
      <c r="C81" s="124">
        <f>IS!G47</f>
        <v>0.7848634340031285</v>
      </c>
      <c r="D81" s="121">
        <f>CHOOSE($D$6,D78,D79,D80)</f>
        <v>0.787</v>
      </c>
      <c r="E81" s="121">
        <f>CHOOSE($D$6,E78,E79,E80)</f>
        <v>0.792</v>
      </c>
      <c r="F81" s="121">
        <f>CHOOSE($D$6,F78,F79,F80)</f>
        <v>0.797</v>
      </c>
      <c r="G81" s="121">
        <f>CHOOSE($D$6,G78,G79,G80)</f>
        <v>0.802</v>
      </c>
      <c r="H81" s="121">
        <f>CHOOSE($D$6,H78,H79,H80)</f>
        <v>0.807</v>
      </c>
      <c r="I81" s="121"/>
    </row>
    <row r="82">
      <c r="C82" s="93"/>
    </row>
    <row r="83">
      <c r="B83" t="s" s="122">
        <v>1454</v>
      </c>
      <c r="C83" s="115"/>
      <c r="D83" s="114"/>
      <c r="E83" s="114"/>
      <c r="F83" s="114"/>
      <c r="G83" s="114"/>
      <c r="H83" s="114"/>
      <c r="I83" s="114"/>
    </row>
    <row r="84">
      <c r="B84" t="s" s="20">
        <v>1452</v>
      </c>
      <c r="C84" s="91"/>
      <c r="D84" s="111">
        <v>0.209</v>
      </c>
      <c r="E84" s="111">
        <v>0.204</v>
      </c>
      <c r="F84" s="111">
        <v>0.2</v>
      </c>
      <c r="G84" s="111">
        <v>0.195</v>
      </c>
      <c r="H84" s="111">
        <v>0.195</v>
      </c>
      <c r="I84" s="77"/>
    </row>
    <row r="85">
      <c r="C85" s="93"/>
    </row>
    <row r="86">
      <c r="B86" t="s" s="122">
        <v>1455</v>
      </c>
      <c r="C86" s="115"/>
      <c r="D86" s="114"/>
      <c r="E86" s="114"/>
      <c r="F86" s="114"/>
      <c r="G86" s="114"/>
      <c r="H86" s="114"/>
      <c r="I86" s="114"/>
    </row>
    <row r="87">
      <c r="B87" t="s" s="20">
        <v>1452</v>
      </c>
      <c r="C87" s="91"/>
      <c r="D87" s="111">
        <v>0.13</v>
      </c>
      <c r="E87" s="111">
        <v>0.13</v>
      </c>
      <c r="F87" s="111">
        <v>0.13</v>
      </c>
      <c r="G87" s="111">
        <v>0.13</v>
      </c>
      <c r="H87" s="111">
        <v>0.13</v>
      </c>
      <c r="I87" s="77"/>
    </row>
    <row r="88">
      <c r="C88" s="93"/>
    </row>
    <row r="89">
      <c r="B89" t="s" s="122">
        <v>1456</v>
      </c>
      <c r="C89" s="115"/>
      <c r="D89" s="114"/>
      <c r="E89" s="114"/>
      <c r="F89" s="114"/>
      <c r="G89" s="114"/>
      <c r="H89" s="114"/>
      <c r="I89" s="114"/>
    </row>
    <row r="90">
      <c r="B90" t="s" s="20">
        <v>1452</v>
      </c>
      <c r="C90" s="91"/>
      <c r="D90" s="111">
        <v>0.088</v>
      </c>
      <c r="E90" s="111">
        <v>0.078</v>
      </c>
      <c r="F90" s="111">
        <v>0.068</v>
      </c>
      <c r="G90" s="111">
        <v>0.063</v>
      </c>
      <c r="H90" s="111">
        <v>0.06</v>
      </c>
      <c r="I90" s="77"/>
    </row>
    <row r="91">
      <c r="C91" s="93"/>
    </row>
    <row r="92">
      <c r="B92" t="s" s="125">
        <v>1442</v>
      </c>
      <c r="C92" s="117"/>
      <c r="D92" s="116"/>
      <c r="E92" s="116"/>
      <c r="F92" s="116"/>
      <c r="G92" s="116"/>
      <c r="H92" s="116"/>
      <c r="I92" s="116"/>
    </row>
    <row r="93">
      <c r="B93" t="s" s="20">
        <v>631</v>
      </c>
      <c r="C93" s="106"/>
      <c r="D93" s="75">
        <v>127</v>
      </c>
      <c r="E93" s="75">
        <v>127</v>
      </c>
      <c r="F93" s="75">
        <v>127</v>
      </c>
      <c r="G93" s="75">
        <v>127</v>
      </c>
      <c r="H93" s="75">
        <v>127</v>
      </c>
      <c r="I93" s="74"/>
    </row>
    <row r="94">
      <c r="B94" t="s" s="20">
        <v>632</v>
      </c>
      <c r="C94" s="106"/>
      <c r="D94" s="74">
        <f>D93</f>
        <v>127</v>
      </c>
      <c r="E94" s="74">
        <f>E93</f>
        <v>127</v>
      </c>
      <c r="F94" s="74">
        <f>F93</f>
        <v>127</v>
      </c>
      <c r="G94" s="74">
        <f>G93</f>
        <v>127</v>
      </c>
      <c r="H94" s="74">
        <f>H93</f>
        <v>127</v>
      </c>
      <c r="I94" s="74"/>
    </row>
    <row r="95">
      <c r="B95" t="s" s="20">
        <v>633</v>
      </c>
      <c r="C95" s="106"/>
      <c r="D95" s="74">
        <f>D93</f>
        <v>127</v>
      </c>
      <c r="E95" s="74">
        <f>E93</f>
        <v>127</v>
      </c>
      <c r="F95" s="74">
        <f>F93</f>
        <v>127</v>
      </c>
      <c r="G95" s="74">
        <f>G93</f>
        <v>127</v>
      </c>
      <c r="H95" s="74">
        <f>H93</f>
        <v>127</v>
      </c>
      <c r="I95" s="74"/>
    </row>
    <row r="96">
      <c r="B96" t="s" s="80">
        <v>629</v>
      </c>
      <c r="C96" s="90">
        <f>-IS!G58</f>
        <v>127.896</v>
      </c>
      <c r="D96" s="84">
        <f>CHOOSE($D$6,D93,D94,D95)</f>
        <v>127</v>
      </c>
      <c r="E96" s="84">
        <f>CHOOSE($D$6,E93,E94,E95)</f>
        <v>127</v>
      </c>
      <c r="F96" s="84">
        <f>CHOOSE($D$6,F93,F94,F95)</f>
        <v>127</v>
      </c>
      <c r="G96" s="84">
        <f>CHOOSE($D$6,G93,G94,G95)</f>
        <v>127</v>
      </c>
      <c r="H96" s="84">
        <f>CHOOSE($D$6,H93,H94,H95)</f>
        <v>127</v>
      </c>
      <c r="I96" s="84"/>
    </row>
    <row r="97">
      <c r="C97" s="93"/>
    </row>
    <row r="98">
      <c r="B98" t="s" s="122">
        <v>11</v>
      </c>
      <c r="C98" s="115"/>
      <c r="D98" s="114"/>
      <c r="E98" s="114"/>
      <c r="F98" s="114"/>
      <c r="G98" s="114"/>
      <c r="H98" s="114"/>
      <c r="I98" s="114"/>
    </row>
    <row r="99">
      <c r="B99" t="s" s="20">
        <v>631</v>
      </c>
      <c r="C99" s="91"/>
      <c r="D99" s="111">
        <v>0.644</v>
      </c>
      <c r="E99" s="111">
        <v>0.681</v>
      </c>
      <c r="F99" s="111">
        <v>0.718</v>
      </c>
      <c r="G99" s="111">
        <v>0.756</v>
      </c>
      <c r="H99" s="111">
        <v>0.793</v>
      </c>
      <c r="I99" s="77"/>
    </row>
    <row r="100">
      <c r="B100" t="s" s="20">
        <v>632</v>
      </c>
      <c r="C100" s="91"/>
      <c r="D100" s="77">
        <f>D99</f>
        <v>0.644</v>
      </c>
      <c r="E100" s="77">
        <f>E99</f>
        <v>0.681</v>
      </c>
      <c r="F100" s="77">
        <f>F99</f>
        <v>0.718</v>
      </c>
      <c r="G100" s="77">
        <f>G99</f>
        <v>0.756</v>
      </c>
      <c r="H100" s="77">
        <f>H99</f>
        <v>0.793</v>
      </c>
      <c r="I100" s="77"/>
    </row>
    <row r="101">
      <c r="B101" t="s" s="20">
        <v>633</v>
      </c>
      <c r="C101" s="91"/>
      <c r="D101" s="77">
        <f>D99</f>
        <v>0.644</v>
      </c>
      <c r="E101" s="77">
        <f>E99</f>
        <v>0.681</v>
      </c>
      <c r="F101" s="77">
        <f>F99</f>
        <v>0.718</v>
      </c>
      <c r="G101" s="77">
        <f>G99</f>
        <v>0.756</v>
      </c>
      <c r="H101" s="77">
        <f>H99</f>
        <v>0.793</v>
      </c>
      <c r="I101" s="77"/>
    </row>
    <row r="102">
      <c r="B102" t="s" s="80">
        <v>629</v>
      </c>
      <c r="C102" s="126"/>
      <c r="D102" s="121">
        <f>CHOOSE($D$6,D99,D100,D101)</f>
        <v>0.644</v>
      </c>
      <c r="E102" s="121">
        <f>CHOOSE($D$6,E99,E100,E101)</f>
        <v>0.681</v>
      </c>
      <c r="F102" s="121">
        <f>CHOOSE($D$6,F99,F100,F101)</f>
        <v>0.718</v>
      </c>
      <c r="G102" s="121">
        <f>CHOOSE($D$6,G99,G100,G101)</f>
        <v>0.756</v>
      </c>
      <c r="H102" s="121">
        <f>CHOOSE($D$6,H99,H100,H101)</f>
        <v>0.793</v>
      </c>
      <c r="I102" s="121"/>
    </row>
    <row r="103">
      <c r="C103" s="93"/>
    </row>
    <row r="104">
      <c r="B104" t="s" s="122">
        <v>635</v>
      </c>
      <c r="C104" s="115"/>
      <c r="D104" s="114"/>
      <c r="E104" s="114"/>
      <c r="F104" s="114"/>
      <c r="G104" s="114"/>
      <c r="H104" s="114"/>
      <c r="I104" s="114"/>
    </row>
    <row r="105">
      <c r="B105" t="s" s="20">
        <v>631</v>
      </c>
      <c r="C105" s="91"/>
      <c r="D105" s="111">
        <v>0.022</v>
      </c>
      <c r="E105" s="111">
        <v>0.015</v>
      </c>
      <c r="F105" s="111">
        <v>0.015</v>
      </c>
      <c r="G105" s="111">
        <v>0.015</v>
      </c>
      <c r="H105" s="111">
        <v>0.015</v>
      </c>
      <c r="I105" s="77"/>
    </row>
    <row r="106">
      <c r="B106" t="s" s="20">
        <v>632</v>
      </c>
      <c r="C106" s="91"/>
      <c r="D106" s="77">
        <f>D105</f>
        <v>0.022</v>
      </c>
      <c r="E106" s="77">
        <f>E105</f>
        <v>0.015</v>
      </c>
      <c r="F106" s="77">
        <f>F105</f>
        <v>0.015</v>
      </c>
      <c r="G106" s="77">
        <f>G105</f>
        <v>0.015</v>
      </c>
      <c r="H106" s="77">
        <f>H105</f>
        <v>0.015</v>
      </c>
      <c r="I106" s="77"/>
    </row>
    <row r="107">
      <c r="B107" t="s" s="20">
        <v>633</v>
      </c>
      <c r="C107" s="91"/>
      <c r="D107" s="77">
        <f>D105</f>
        <v>0.022</v>
      </c>
      <c r="E107" s="77">
        <f>E105</f>
        <v>0.015</v>
      </c>
      <c r="F107" s="77">
        <f>F105</f>
        <v>0.015</v>
      </c>
      <c r="G107" s="77">
        <f>G105</f>
        <v>0.015</v>
      </c>
      <c r="H107" s="77">
        <f>H105</f>
        <v>0.015</v>
      </c>
      <c r="I107" s="77"/>
    </row>
    <row r="108">
      <c r="B108" t="s" s="80">
        <v>629</v>
      </c>
      <c r="C108" s="124">
        <f>-CFS!G32/IS!G33</f>
        <v>0.015797792629702146</v>
      </c>
      <c r="D108" s="121">
        <f>CHOOSE($D$6,D105,D106,D107)</f>
        <v>0.022</v>
      </c>
      <c r="E108" s="121">
        <f>CHOOSE($D$6,E105,E106,E107)</f>
        <v>0.015</v>
      </c>
      <c r="F108" s="121">
        <f>CHOOSE($D$6,F105,F106,F107)</f>
        <v>0.015</v>
      </c>
      <c r="G108" s="121">
        <f>CHOOSE($D$6,G105,G106,G107)</f>
        <v>0.015</v>
      </c>
      <c r="H108" s="121">
        <f>CHOOSE($D$6,H105,H106,H107)</f>
        <v>0.015</v>
      </c>
      <c r="I108" s="121"/>
    </row>
    <row r="109">
      <c r="C109" s="93"/>
    </row>
    <row r="110">
      <c r="B110" t="s" s="122">
        <v>636</v>
      </c>
      <c r="C110" s="115"/>
      <c r="D110" s="114"/>
      <c r="E110" s="114"/>
      <c r="F110" s="114"/>
      <c r="G110" s="114"/>
      <c r="H110" s="114"/>
      <c r="I110" s="114"/>
    </row>
    <row r="111">
      <c r="B111" t="s" s="20">
        <v>631</v>
      </c>
      <c r="C111" s="91"/>
      <c r="D111" s="111">
        <v>0.02</v>
      </c>
      <c r="E111" s="111">
        <v>0.02</v>
      </c>
      <c r="F111" s="111">
        <v>0.02</v>
      </c>
      <c r="G111" s="111">
        <v>0.02</v>
      </c>
      <c r="H111" s="111">
        <v>0.02</v>
      </c>
      <c r="I111" s="77"/>
    </row>
    <row r="112">
      <c r="B112" t="s" s="20">
        <v>632</v>
      </c>
      <c r="C112" s="91"/>
      <c r="D112" s="77">
        <f>D111</f>
        <v>0.02</v>
      </c>
      <c r="E112" s="77">
        <f>E111</f>
        <v>0.02</v>
      </c>
      <c r="F112" s="77">
        <f>F111</f>
        <v>0.02</v>
      </c>
      <c r="G112" s="77">
        <f>G111</f>
        <v>0.02</v>
      </c>
      <c r="H112" s="77">
        <f>H111</f>
        <v>0.02</v>
      </c>
      <c r="I112" s="77"/>
    </row>
    <row r="113">
      <c r="B113" t="s" s="20">
        <v>633</v>
      </c>
      <c r="C113" s="91"/>
      <c r="D113" s="77">
        <f>D111</f>
        <v>0.02</v>
      </c>
      <c r="E113" s="77">
        <f>E111</f>
        <v>0.02</v>
      </c>
      <c r="F113" s="77">
        <f>F111</f>
        <v>0.02</v>
      </c>
      <c r="G113" s="77">
        <f>G111</f>
        <v>0.02</v>
      </c>
      <c r="H113" s="77">
        <f>H111</f>
        <v>0.02</v>
      </c>
      <c r="I113" s="77"/>
    </row>
    <row r="114">
      <c r="B114" t="s" s="80">
        <v>629</v>
      </c>
      <c r="C114" s="126"/>
      <c r="D114" s="121">
        <f>CHOOSE($D$6,D111,D112,D113)</f>
        <v>0.02</v>
      </c>
      <c r="E114" s="121">
        <f>CHOOSE($D$6,E111,E112,E113)</f>
        <v>0.02</v>
      </c>
      <c r="F114" s="121">
        <f>CHOOSE($D$6,F111,F112,F113)</f>
        <v>0.02</v>
      </c>
      <c r="G114" s="121">
        <f>CHOOSE($D$6,G111,G112,G113)</f>
        <v>0.02</v>
      </c>
      <c r="H114" s="121">
        <f>CHOOSE($D$6,H111,H112,H113)</f>
        <v>0.02</v>
      </c>
      <c r="I114" s="121"/>
    </row>
    <row r="115">
      <c r="C115" s="93"/>
    </row>
    <row r="116">
      <c r="B116" t="s" s="125">
        <v>637</v>
      </c>
      <c r="C116" s="117"/>
      <c r="D116" s="116"/>
      <c r="E116" s="116"/>
      <c r="F116" s="116"/>
      <c r="G116" s="116"/>
      <c r="H116" s="116"/>
      <c r="I116" s="116"/>
    </row>
    <row r="117">
      <c r="B117" t="s" s="20">
        <v>631</v>
      </c>
      <c r="C117" s="106"/>
      <c r="D117" s="75">
        <v>13</v>
      </c>
      <c r="E117" s="75">
        <v>16</v>
      </c>
      <c r="F117" s="75">
        <v>19</v>
      </c>
      <c r="G117" s="75">
        <v>22</v>
      </c>
      <c r="H117" s="75">
        <v>27</v>
      </c>
      <c r="I117" s="74"/>
    </row>
    <row r="118">
      <c r="B118" t="s" s="20">
        <v>632</v>
      </c>
      <c r="C118" s="106"/>
      <c r="D118" s="74">
        <f>D117</f>
        <v>13</v>
      </c>
      <c r="E118" s="74">
        <f>E117</f>
        <v>16</v>
      </c>
      <c r="F118" s="74">
        <f>F117</f>
        <v>19</v>
      </c>
      <c r="G118" s="74">
        <f>G117</f>
        <v>22</v>
      </c>
      <c r="H118" s="74">
        <f>H117</f>
        <v>27</v>
      </c>
      <c r="I118" s="74"/>
    </row>
    <row r="119">
      <c r="B119" t="s" s="20">
        <v>633</v>
      </c>
      <c r="C119" s="106"/>
      <c r="D119" s="74">
        <f>D117</f>
        <v>13</v>
      </c>
      <c r="E119" s="74">
        <f>E117</f>
        <v>16</v>
      </c>
      <c r="F119" s="74">
        <f>F117</f>
        <v>19</v>
      </c>
      <c r="G119" s="74">
        <f>G117</f>
        <v>22</v>
      </c>
      <c r="H119" s="74">
        <f>H117</f>
        <v>27</v>
      </c>
      <c r="I119" s="74"/>
    </row>
    <row r="120">
      <c r="B120" t="s" s="80">
        <v>629</v>
      </c>
      <c r="C120" s="90">
        <f>CFS!G12</f>
        <v>11.487</v>
      </c>
      <c r="D120" s="84">
        <f>CHOOSE($D$6,D117,D118,D119)</f>
        <v>13</v>
      </c>
      <c r="E120" s="84">
        <f>CHOOSE($D$6,E117,E118,E119)</f>
        <v>16</v>
      </c>
      <c r="F120" s="84">
        <f>CHOOSE($D$6,F117,F118,F119)</f>
        <v>19</v>
      </c>
      <c r="G120" s="84">
        <f>CHOOSE($D$6,G117,G118,G119)</f>
        <v>22</v>
      </c>
      <c r="H120" s="84">
        <f>CHOOSE($D$6,H117,H118,H119)</f>
        <v>27</v>
      </c>
      <c r="I120" s="84"/>
    </row>
    <row r="121">
      <c r="C121" s="93"/>
    </row>
    <row r="122">
      <c r="B122" t="s" s="122">
        <v>638</v>
      </c>
      <c r="C122" s="115"/>
      <c r="D122" s="114"/>
      <c r="E122" s="114"/>
      <c r="F122" s="114"/>
      <c r="G122" s="114"/>
      <c r="H122" s="114"/>
      <c r="I122" s="114"/>
    </row>
    <row r="123">
      <c r="B123" t="s" s="20">
        <v>631</v>
      </c>
      <c r="C123" s="112">
        <v>0.86</v>
      </c>
      <c r="D123" s="77">
        <f>$C123+($H123-$C123)*(YEAR(D$5)-YEAR($C$5))/(YEAR($H$5)-YEAR($C$5))</f>
        <v>0.872</v>
      </c>
      <c r="E123" s="77">
        <f>$C123+($H123-$C123)*(YEAR(E$5)-YEAR($C$5))/(YEAR($H$5)-YEAR($C$5))</f>
        <v>0.884</v>
      </c>
      <c r="F123" s="77">
        <f>$C123+($H123-$C123)*(YEAR(F$5)-YEAR($C$5))/(YEAR($H$5)-YEAR($C$5))</f>
        <v>0.896</v>
      </c>
      <c r="G123" s="77">
        <f>$C123+($H123-$C123)*(YEAR(G$5)-YEAR($C$5))/(YEAR($H$5)-YEAR($C$5))</f>
        <v>0.908</v>
      </c>
      <c r="H123" s="111">
        <v>0.92</v>
      </c>
      <c r="I123" s="77"/>
    </row>
    <row r="124">
      <c r="B124" t="s" s="20">
        <v>632</v>
      </c>
      <c r="C124" s="91"/>
      <c r="D124" s="77">
        <f>D123</f>
        <v>0.872</v>
      </c>
      <c r="E124" s="77">
        <f>E123</f>
        <v>0.884</v>
      </c>
      <c r="F124" s="77">
        <f>F123</f>
        <v>0.896</v>
      </c>
      <c r="G124" s="77">
        <f>G123</f>
        <v>0.908</v>
      </c>
      <c r="H124" s="77">
        <f>H123</f>
        <v>0.92</v>
      </c>
      <c r="I124" s="77"/>
    </row>
    <row r="125">
      <c r="B125" t="s" s="20">
        <v>633</v>
      </c>
      <c r="C125" s="91"/>
      <c r="D125" s="77">
        <f>D123</f>
        <v>0.872</v>
      </c>
      <c r="E125" s="77">
        <f>E123</f>
        <v>0.884</v>
      </c>
      <c r="F125" s="77">
        <f>F123</f>
        <v>0.896</v>
      </c>
      <c r="G125" s="77">
        <f>G123</f>
        <v>0.908</v>
      </c>
      <c r="H125" s="77">
        <f>H123</f>
        <v>0.92</v>
      </c>
      <c r="I125" s="77"/>
    </row>
    <row r="126">
      <c r="B126" t="s" s="80">
        <v>629</v>
      </c>
      <c r="C126" s="126"/>
      <c r="D126" s="121">
        <f>CHOOSE($D$6,D123,D124,D125)</f>
        <v>0.872</v>
      </c>
      <c r="E126" s="121">
        <f>CHOOSE($D$6,E123,E124,E125)</f>
        <v>0.884</v>
      </c>
      <c r="F126" s="121">
        <f>CHOOSE($D$6,F123,F124,F125)</f>
        <v>0.896</v>
      </c>
      <c r="G126" s="121">
        <f>CHOOSE($D$6,G123,G124,G125)</f>
        <v>0.908</v>
      </c>
      <c r="H126" s="121">
        <f>CHOOSE($D$6,H123,H124,H125)</f>
        <v>0.92</v>
      </c>
      <c r="I126" s="121"/>
    </row>
    <row r="127">
      <c r="C127" s="93"/>
    </row>
    <row r="128">
      <c r="B128" t="s" s="122">
        <v>15</v>
      </c>
      <c r="C128" s="115"/>
      <c r="D128" s="114"/>
      <c r="E128" s="114"/>
      <c r="F128" s="114"/>
      <c r="G128" s="114"/>
      <c r="H128" s="114"/>
      <c r="I128" s="114"/>
    </row>
    <row r="129">
      <c r="B129" t="s" s="20">
        <v>631</v>
      </c>
      <c r="C129" s="91"/>
      <c r="D129" s="111">
        <v>0.25</v>
      </c>
      <c r="E129" s="111">
        <v>0.25</v>
      </c>
      <c r="F129" s="111">
        <v>0.25</v>
      </c>
      <c r="G129" s="111">
        <v>0.25</v>
      </c>
      <c r="H129" s="111">
        <v>0.25</v>
      </c>
      <c r="I129" s="77"/>
    </row>
    <row r="130">
      <c r="B130" t="s" s="20">
        <v>632</v>
      </c>
      <c r="C130" s="91"/>
      <c r="D130" s="77">
        <f>D129</f>
        <v>0.25</v>
      </c>
      <c r="E130" s="77">
        <f>E129</f>
        <v>0.25</v>
      </c>
      <c r="F130" s="77">
        <f>F129</f>
        <v>0.25</v>
      </c>
      <c r="G130" s="77">
        <f>G129</f>
        <v>0.25</v>
      </c>
      <c r="H130" s="77">
        <f>H129</f>
        <v>0.25</v>
      </c>
      <c r="I130" s="77"/>
    </row>
    <row r="131">
      <c r="B131" t="s" s="20">
        <v>633</v>
      </c>
      <c r="C131" s="91"/>
      <c r="D131" s="77">
        <f>D129</f>
        <v>0.25</v>
      </c>
      <c r="E131" s="77">
        <f>E129</f>
        <v>0.25</v>
      </c>
      <c r="F131" s="77">
        <f>F129</f>
        <v>0.25</v>
      </c>
      <c r="G131" s="77">
        <f>G129</f>
        <v>0.25</v>
      </c>
      <c r="H131" s="77">
        <f>H129</f>
        <v>0.25</v>
      </c>
      <c r="I131" s="77"/>
    </row>
    <row r="132">
      <c r="B132" t="s" s="80">
        <v>629</v>
      </c>
      <c r="C132" s="126"/>
      <c r="D132" s="121">
        <f>CHOOSE($D$6,D129,D130,D131)</f>
        <v>0.25</v>
      </c>
      <c r="E132" s="121">
        <f>CHOOSE($D$6,E129,E130,E131)</f>
        <v>0.25</v>
      </c>
      <c r="F132" s="121">
        <f>CHOOSE($D$6,F129,F130,F131)</f>
        <v>0.25</v>
      </c>
      <c r="G132" s="121">
        <f>CHOOSE($D$6,G129,G130,G131)</f>
        <v>0.25</v>
      </c>
      <c r="H132" s="121">
        <f>CHOOSE($D$6,H129,H130,H131)</f>
        <v>0.25</v>
      </c>
      <c r="I132" s="121"/>
    </row>
    <row r="133">
      <c r="C133" s="93"/>
    </row>
    <row r="134">
      <c r="B134" t="s" s="122">
        <v>16</v>
      </c>
      <c r="C134" s="115"/>
      <c r="D134" s="114"/>
      <c r="E134" s="114"/>
      <c r="F134" s="114"/>
      <c r="G134" s="114"/>
      <c r="H134" s="114"/>
      <c r="I134" s="114"/>
    </row>
    <row r="135">
      <c r="B135" t="s" s="20">
        <v>631</v>
      </c>
      <c r="C135" s="91"/>
      <c r="D135" s="111">
        <v>0.8</v>
      </c>
      <c r="E135" s="111">
        <v>0.8</v>
      </c>
      <c r="F135" s="111">
        <v>0.8</v>
      </c>
      <c r="G135" s="111">
        <v>0.8</v>
      </c>
      <c r="H135" s="111">
        <v>0.8</v>
      </c>
      <c r="I135" s="77"/>
    </row>
    <row r="136">
      <c r="B136" t="s" s="20">
        <v>632</v>
      </c>
      <c r="C136" s="91"/>
      <c r="D136" s="77">
        <f>D135</f>
        <v>0.8</v>
      </c>
      <c r="E136" s="77">
        <f>E135</f>
        <v>0.8</v>
      </c>
      <c r="F136" s="77">
        <f>F135</f>
        <v>0.8</v>
      </c>
      <c r="G136" s="77">
        <f>G135</f>
        <v>0.8</v>
      </c>
      <c r="H136" s="77">
        <f>H135</f>
        <v>0.8</v>
      </c>
      <c r="I136" s="77"/>
    </row>
    <row r="137">
      <c r="B137" t="s" s="20">
        <v>633</v>
      </c>
      <c r="C137" s="91"/>
      <c r="D137" s="77">
        <f>D135</f>
        <v>0.8</v>
      </c>
      <c r="E137" s="77">
        <f>E135</f>
        <v>0.8</v>
      </c>
      <c r="F137" s="77">
        <f>F135</f>
        <v>0.8</v>
      </c>
      <c r="G137" s="77">
        <f>G135</f>
        <v>0.8</v>
      </c>
      <c r="H137" s="77">
        <f>H135</f>
        <v>0.8</v>
      </c>
      <c r="I137" s="77"/>
    </row>
    <row r="138">
      <c r="B138" t="s" s="80">
        <v>629</v>
      </c>
      <c r="C138" s="126"/>
      <c r="D138" s="121">
        <f>CHOOSE($D$6,D135,D136,D137)</f>
        <v>0.8</v>
      </c>
      <c r="E138" s="121">
        <f>CHOOSE($D$6,E135,E136,E137)</f>
        <v>0.8</v>
      </c>
      <c r="F138" s="121">
        <f>CHOOSE($D$6,F135,F136,F137)</f>
        <v>0.8</v>
      </c>
      <c r="G138" s="121">
        <f>CHOOSE($D$6,G135,G136,G137)</f>
        <v>0.8</v>
      </c>
      <c r="H138" s="121">
        <f>CHOOSE($D$6,H135,H136,H137)</f>
        <v>0.8</v>
      </c>
      <c r="I138" s="121"/>
    </row>
    <row r="139">
      <c r="C139" s="93"/>
    </row>
    <row r="140">
      <c r="B140" t="s" s="125">
        <v>17</v>
      </c>
      <c r="C140" s="117"/>
      <c r="D140" s="116"/>
      <c r="E140" s="116"/>
      <c r="F140" s="116"/>
      <c r="G140" s="116"/>
      <c r="H140" s="116"/>
      <c r="I140" s="116"/>
    </row>
    <row r="141">
      <c r="B141" t="s" s="20">
        <v>631</v>
      </c>
      <c r="C141" s="106"/>
      <c r="D141" s="75">
        <v>2</v>
      </c>
      <c r="E141" s="75">
        <v>2</v>
      </c>
      <c r="F141" s="75">
        <v>2</v>
      </c>
      <c r="G141" s="75">
        <v>2</v>
      </c>
      <c r="H141" s="75">
        <v>2</v>
      </c>
      <c r="I141" s="74"/>
    </row>
    <row r="142">
      <c r="B142" t="s" s="20">
        <v>632</v>
      </c>
      <c r="C142" s="106"/>
      <c r="D142" s="74">
        <f>D141</f>
        <v>2</v>
      </c>
      <c r="E142" s="74">
        <f>E141</f>
        <v>2</v>
      </c>
      <c r="F142" s="74">
        <f>F141</f>
        <v>2</v>
      </c>
      <c r="G142" s="74">
        <f>G141</f>
        <v>2</v>
      </c>
      <c r="H142" s="74">
        <f>H141</f>
        <v>2</v>
      </c>
      <c r="I142" s="74"/>
    </row>
    <row r="143">
      <c r="B143" t="s" s="20">
        <v>633</v>
      </c>
      <c r="C143" s="106"/>
      <c r="D143" s="74">
        <f>D141</f>
        <v>2</v>
      </c>
      <c r="E143" s="74">
        <f>E141</f>
        <v>2</v>
      </c>
      <c r="F143" s="74">
        <f>F141</f>
        <v>2</v>
      </c>
      <c r="G143" s="74">
        <f>G141</f>
        <v>2</v>
      </c>
      <c r="H143" s="74">
        <f>H141</f>
        <v>2</v>
      </c>
      <c r="I143" s="74"/>
    </row>
    <row r="144">
      <c r="B144" t="s" s="80">
        <v>629</v>
      </c>
      <c r="C144" s="104"/>
      <c r="D144" s="84">
        <f>CHOOSE($D$6,D141,D142,D143)</f>
        <v>2</v>
      </c>
      <c r="E144" s="84">
        <f>CHOOSE($D$6,E141,E142,E143)</f>
        <v>2</v>
      </c>
      <c r="F144" s="84">
        <f>CHOOSE($D$6,F141,F142,F143)</f>
        <v>2</v>
      </c>
      <c r="G144" s="84">
        <f>CHOOSE($D$6,G141,G142,G143)</f>
        <v>2</v>
      </c>
      <c r="H144" s="84">
        <f>CHOOSE($D$6,H141,H142,H143)</f>
        <v>2</v>
      </c>
      <c r="I144" s="84"/>
    </row>
    <row r="145">
      <c r="C145" s="93"/>
    </row>
    <row r="146">
      <c r="B146" t="s" s="125">
        <v>639</v>
      </c>
      <c r="C146" s="117"/>
      <c r="D146" s="116"/>
      <c r="E146" s="116"/>
      <c r="F146" s="116"/>
      <c r="G146" s="116"/>
      <c r="H146" s="116"/>
      <c r="I146" s="116"/>
    </row>
    <row r="147">
      <c r="B147" t="s" s="20">
        <v>631</v>
      </c>
      <c r="C147" s="106"/>
      <c r="D147" s="75">
        <v>106.08</v>
      </c>
      <c r="E147" s="75">
        <v>106</v>
      </c>
      <c r="F147" s="75">
        <v>105.97</v>
      </c>
      <c r="G147" s="75">
        <v>104.37</v>
      </c>
      <c r="H147" s="74">
        <f>G147</f>
        <v>104.37</v>
      </c>
      <c r="I147" s="74"/>
      <c r="K147" t="s" s="5">
        <v>652</v>
      </c>
    </row>
    <row r="148">
      <c r="B148" t="s" s="20">
        <v>632</v>
      </c>
      <c r="C148" s="106"/>
      <c r="D148" s="74">
        <f>D147</f>
        <v>106.08</v>
      </c>
      <c r="E148" s="74">
        <f>E147</f>
        <v>106</v>
      </c>
      <c r="F148" s="74">
        <f>F147</f>
        <v>105.97</v>
      </c>
      <c r="G148" s="74">
        <f>G147</f>
        <v>104.37</v>
      </c>
      <c r="H148" s="74">
        <f>H147</f>
        <v>104.37</v>
      </c>
      <c r="I148" s="74"/>
    </row>
    <row r="149">
      <c r="B149" t="s" s="20">
        <v>633</v>
      </c>
      <c r="C149" s="106"/>
      <c r="D149" s="74">
        <f>D147</f>
        <v>106.08</v>
      </c>
      <c r="E149" s="74">
        <f>E147</f>
        <v>106</v>
      </c>
      <c r="F149" s="74">
        <f>F147</f>
        <v>105.97</v>
      </c>
      <c r="G149" s="74">
        <f>G147</f>
        <v>104.37</v>
      </c>
      <c r="H149" s="74">
        <f>H147</f>
        <v>104.37</v>
      </c>
      <c r="I149" s="74"/>
    </row>
    <row r="150">
      <c r="B150" t="s" s="80">
        <v>629</v>
      </c>
      <c r="C150" s="90">
        <f>IS!G108</f>
        <v>75.7</v>
      </c>
      <c r="D150" s="84">
        <f>CHOOSE($D$6,D147,D148,D149)</f>
        <v>106.08</v>
      </c>
      <c r="E150" s="84">
        <f>CHOOSE($D$6,E147,E148,E149)</f>
        <v>106</v>
      </c>
      <c r="F150" s="84">
        <f>CHOOSE($D$6,F147,F148,F149)</f>
        <v>105.97</v>
      </c>
      <c r="G150" s="84">
        <f>CHOOSE($D$6,G147,G148,G149)</f>
        <v>104.37</v>
      </c>
      <c r="H150" s="84">
        <f>CHOOSE($D$6,H147,H148,H149)</f>
        <v>104.37</v>
      </c>
      <c r="I150" s="84"/>
    </row>
    <row r="151">
      <c r="C151" s="93"/>
    </row>
    <row r="152">
      <c r="B152" t="s" s="125">
        <v>1443</v>
      </c>
      <c r="C152" s="117"/>
      <c r="D152" s="116"/>
      <c r="E152" s="116"/>
      <c r="F152" s="116"/>
      <c r="G152" s="116"/>
      <c r="H152" s="116"/>
      <c r="I152" s="116"/>
    </row>
    <row r="153">
      <c r="B153" t="s" s="20">
        <v>631</v>
      </c>
      <c r="C153" s="106"/>
      <c r="D153" s="86">
        <v>0</v>
      </c>
      <c r="E153" s="86">
        <v>0</v>
      </c>
      <c r="F153" s="86">
        <v>0</v>
      </c>
      <c r="G153" s="86">
        <v>0</v>
      </c>
      <c r="H153" s="86">
        <v>0</v>
      </c>
      <c r="I153" s="74"/>
      <c r="K153" t="s" s="5">
        <v>653</v>
      </c>
    </row>
    <row r="154">
      <c r="B154" t="s" s="20">
        <v>632</v>
      </c>
      <c r="C154" s="106"/>
      <c r="D154" s="74">
        <f>D153</f>
        <v>0</v>
      </c>
      <c r="E154" s="74">
        <f>E153</f>
        <v>0</v>
      </c>
      <c r="F154" s="74">
        <f>F153</f>
        <v>0</v>
      </c>
      <c r="G154" s="74">
        <f>G153</f>
        <v>0</v>
      </c>
      <c r="H154" s="74">
        <f>H153</f>
        <v>0</v>
      </c>
      <c r="I154" s="74"/>
    </row>
    <row r="155">
      <c r="B155" t="s" s="20">
        <v>633</v>
      </c>
      <c r="C155" s="106"/>
      <c r="D155" s="74">
        <f>D153</f>
        <v>0</v>
      </c>
      <c r="E155" s="74">
        <f>E153</f>
        <v>0</v>
      </c>
      <c r="F155" s="74">
        <f>F153</f>
        <v>0</v>
      </c>
      <c r="G155" s="74">
        <f>G153</f>
        <v>0</v>
      </c>
      <c r="H155" s="74">
        <f>H153</f>
        <v>0</v>
      </c>
      <c r="I155" s="74"/>
    </row>
    <row r="156">
      <c r="B156" t="s" s="80">
        <v>629</v>
      </c>
      <c r="C156" s="90">
        <f>IS!G104</f>
        <v>35.773</v>
      </c>
      <c r="D156" s="84">
        <f>CHOOSE($D$6,D153,D154,D155)</f>
        <v>0</v>
      </c>
      <c r="E156" s="84">
        <f>CHOOSE($D$6,E153,E154,E155)</f>
        <v>0</v>
      </c>
      <c r="F156" s="84">
        <f>CHOOSE($D$6,F153,F154,F155)</f>
        <v>0</v>
      </c>
      <c r="G156" s="84">
        <f>CHOOSE($D$6,G153,G154,G155)</f>
        <v>0</v>
      </c>
      <c r="H156" s="84">
        <f>CHOOSE($D$6,H153,H154,H155)</f>
        <v>0</v>
      </c>
      <c r="I156" s="84"/>
    </row>
    <row r="157">
      <c r="C157" s="93"/>
    </row>
    <row r="158">
      <c r="B158" t="s" s="122">
        <v>641</v>
      </c>
      <c r="C158" s="115"/>
      <c r="D158" s="114"/>
      <c r="E158" s="114"/>
      <c r="F158" s="114"/>
      <c r="G158" s="114"/>
      <c r="H158" s="114"/>
      <c r="I158" s="114"/>
    </row>
    <row r="159">
      <c r="B159" t="s" s="20">
        <v>631</v>
      </c>
      <c r="C159" s="91"/>
      <c r="D159" s="111">
        <v>0.06</v>
      </c>
      <c r="E159" s="111">
        <v>0.06</v>
      </c>
      <c r="F159" s="111">
        <v>0.06</v>
      </c>
      <c r="G159" s="111">
        <v>0.06</v>
      </c>
      <c r="H159" s="111">
        <v>0.06</v>
      </c>
      <c r="I159" s="77"/>
    </row>
    <row r="160">
      <c r="B160" t="s" s="20">
        <v>632</v>
      </c>
      <c r="C160" s="91"/>
      <c r="D160" s="77">
        <f>D159</f>
        <v>0.06</v>
      </c>
      <c r="E160" s="77">
        <f>E159</f>
        <v>0.06</v>
      </c>
      <c r="F160" s="77">
        <f>F159</f>
        <v>0.06</v>
      </c>
      <c r="G160" s="77">
        <f>G159</f>
        <v>0.06</v>
      </c>
      <c r="H160" s="77">
        <f>H159</f>
        <v>0.06</v>
      </c>
      <c r="I160" s="77"/>
    </row>
    <row r="161">
      <c r="B161" t="s" s="20">
        <v>633</v>
      </c>
      <c r="C161" s="91"/>
      <c r="D161" s="77">
        <f>D159</f>
        <v>0.06</v>
      </c>
      <c r="E161" s="77">
        <f>E159</f>
        <v>0.06</v>
      </c>
      <c r="F161" s="77">
        <f>F159</f>
        <v>0.06</v>
      </c>
      <c r="G161" s="77">
        <f>G159</f>
        <v>0.06</v>
      </c>
      <c r="H161" s="77">
        <f>H159</f>
        <v>0.06</v>
      </c>
      <c r="I161" s="77"/>
    </row>
    <row r="162">
      <c r="B162" t="s" s="80">
        <v>629</v>
      </c>
      <c r="C162" s="126"/>
      <c r="D162" s="121">
        <f>CHOOSE($D$6,D159,D160,D161)</f>
        <v>0.06</v>
      </c>
      <c r="E162" s="121">
        <f>CHOOSE($D$6,E159,E160,E161)</f>
        <v>0.06</v>
      </c>
      <c r="F162" s="121">
        <f>CHOOSE($D$6,F159,F160,F161)</f>
        <v>0.06</v>
      </c>
      <c r="G162" s="121">
        <f>CHOOSE($D$6,G159,G160,G161)</f>
        <v>0.06</v>
      </c>
      <c r="H162" s="121">
        <f>CHOOSE($D$6,H159,H160,H161)</f>
        <v>0.06</v>
      </c>
      <c r="I162" s="121"/>
    </row>
    <row r="163">
      <c r="C163" s="93"/>
    </row>
    <row r="164">
      <c r="B164" t="s" s="122">
        <v>642</v>
      </c>
      <c r="C164" s="115"/>
      <c r="D164" s="114"/>
      <c r="E164" s="114"/>
      <c r="F164" s="114"/>
      <c r="G164" s="114"/>
      <c r="H164" s="114"/>
      <c r="I164" s="114"/>
    </row>
    <row r="165">
      <c r="B165" t="s" s="20">
        <v>631</v>
      </c>
      <c r="C165" s="91"/>
      <c r="D165" s="111">
        <v>0.04</v>
      </c>
      <c r="E165" s="111">
        <v>0.04</v>
      </c>
      <c r="F165" s="111">
        <v>0.04</v>
      </c>
      <c r="G165" s="111">
        <v>0.04</v>
      </c>
      <c r="H165" s="111">
        <v>0.04</v>
      </c>
      <c r="I165" s="77"/>
    </row>
    <row r="166">
      <c r="B166" t="s" s="20">
        <v>632</v>
      </c>
      <c r="C166" s="91"/>
      <c r="D166" s="77">
        <f>D165</f>
        <v>0.04</v>
      </c>
      <c r="E166" s="77">
        <f>E165</f>
        <v>0.04</v>
      </c>
      <c r="F166" s="77">
        <f>F165</f>
        <v>0.04</v>
      </c>
      <c r="G166" s="77">
        <f>G165</f>
        <v>0.04</v>
      </c>
      <c r="H166" s="77">
        <f>H165</f>
        <v>0.04</v>
      </c>
      <c r="I166" s="77"/>
    </row>
    <row r="167">
      <c r="B167" t="s" s="20">
        <v>633</v>
      </c>
      <c r="C167" s="91"/>
      <c r="D167" s="77">
        <f>D165</f>
        <v>0.04</v>
      </c>
      <c r="E167" s="77">
        <f>E165</f>
        <v>0.04</v>
      </c>
      <c r="F167" s="77">
        <f>F165</f>
        <v>0.04</v>
      </c>
      <c r="G167" s="77">
        <f>G165</f>
        <v>0.04</v>
      </c>
      <c r="H167" s="77">
        <f>H165</f>
        <v>0.04</v>
      </c>
      <c r="I167" s="77"/>
    </row>
    <row r="168">
      <c r="B168" t="s" s="80">
        <v>629</v>
      </c>
      <c r="C168" s="126"/>
      <c r="D168" s="121">
        <f>CHOOSE($D$6,D165,D166,D167)</f>
        <v>0.04</v>
      </c>
      <c r="E168" s="121">
        <f>CHOOSE($D$6,E165,E166,E167)</f>
        <v>0.04</v>
      </c>
      <c r="F168" s="121">
        <f>CHOOSE($D$6,F165,F166,F167)</f>
        <v>0.04</v>
      </c>
      <c r="G168" s="121">
        <f>CHOOSE($D$6,G165,G166,G167)</f>
        <v>0.04</v>
      </c>
      <c r="H168" s="121">
        <f>CHOOSE($D$6,H165,H166,H167)</f>
        <v>0.04</v>
      </c>
      <c r="I168" s="121"/>
    </row>
    <row r="169">
      <c r="C169" s="93"/>
    </row>
    <row r="170">
      <c r="B170" t="s" s="125">
        <v>643</v>
      </c>
      <c r="C170" s="117"/>
      <c r="D170" s="116"/>
      <c r="E170" s="116"/>
      <c r="F170" s="116"/>
      <c r="G170" s="116"/>
      <c r="H170" s="116"/>
      <c r="I170" s="116"/>
    </row>
    <row r="171">
      <c r="B171" t="s" s="20">
        <v>631</v>
      </c>
      <c r="C171" s="106"/>
      <c r="D171" s="75">
        <v>8</v>
      </c>
      <c r="E171" s="75">
        <v>8</v>
      </c>
      <c r="F171" s="75">
        <v>8</v>
      </c>
      <c r="G171" s="75">
        <v>8</v>
      </c>
      <c r="H171" s="75">
        <v>52</v>
      </c>
      <c r="I171" s="75">
        <v>8</v>
      </c>
      <c r="K171" t="s" s="5">
        <v>654</v>
      </c>
    </row>
    <row r="172">
      <c r="B172" t="s" s="20">
        <v>632</v>
      </c>
      <c r="C172" s="106"/>
      <c r="D172" s="74">
        <f>D171</f>
        <v>8</v>
      </c>
      <c r="E172" s="74">
        <f>E171</f>
        <v>8</v>
      </c>
      <c r="F172" s="74">
        <f>F171</f>
        <v>8</v>
      </c>
      <c r="G172" s="74">
        <f>G171</f>
        <v>8</v>
      </c>
      <c r="H172" s="74">
        <f>H171</f>
        <v>52</v>
      </c>
      <c r="I172" s="74"/>
    </row>
    <row r="173">
      <c r="B173" t="s" s="20">
        <v>633</v>
      </c>
      <c r="C173" s="106"/>
      <c r="D173" s="74">
        <f>D171</f>
        <v>8</v>
      </c>
      <c r="E173" s="74">
        <f>E171</f>
        <v>8</v>
      </c>
      <c r="F173" s="74">
        <f>F171</f>
        <v>8</v>
      </c>
      <c r="G173" s="74">
        <f>G171</f>
        <v>8</v>
      </c>
      <c r="H173" s="74">
        <f>H171</f>
        <v>52</v>
      </c>
      <c r="I173" s="74"/>
    </row>
    <row r="174">
      <c r="B174" t="s" s="80">
        <v>629</v>
      </c>
      <c r="C174" s="104"/>
      <c r="D174" s="84">
        <f>CHOOSE($D$6,D171,D172,D173)</f>
        <v>8</v>
      </c>
      <c r="E174" s="84">
        <f>CHOOSE($D$6,E171,E172,E173)</f>
        <v>8</v>
      </c>
      <c r="F174" s="84">
        <f>CHOOSE($D$6,F171,F172,F173)</f>
        <v>8</v>
      </c>
      <c r="G174" s="84">
        <f>CHOOSE($D$6,G171,G172,G173)</f>
        <v>8</v>
      </c>
      <c r="H174" s="84">
        <f>CHOOSE($D$6,H171,H172,H173)</f>
        <v>52</v>
      </c>
      <c r="I174" s="84">
        <f>I171</f>
        <v>8</v>
      </c>
    </row>
    <row r="175">
      <c r="C175" s="93"/>
    </row>
    <row r="176">
      <c r="B176" t="s" s="125">
        <v>644</v>
      </c>
      <c r="C176" s="117"/>
      <c r="D176" s="116"/>
      <c r="E176" s="116"/>
      <c r="F176" s="116"/>
      <c r="G176" s="116"/>
      <c r="H176" s="116"/>
      <c r="I176" s="116"/>
    </row>
    <row r="177">
      <c r="B177" t="s" s="20">
        <v>631</v>
      </c>
      <c r="C177" s="106"/>
      <c r="D177" s="86">
        <v>0</v>
      </c>
      <c r="E177" s="86">
        <v>0</v>
      </c>
      <c r="F177" s="86">
        <v>0</v>
      </c>
      <c r="G177" s="86">
        <v>0</v>
      </c>
      <c r="H177" s="86">
        <v>0</v>
      </c>
      <c r="I177" s="74"/>
      <c r="K177" t="s" s="5">
        <v>655</v>
      </c>
    </row>
    <row r="178">
      <c r="B178" t="s" s="20">
        <v>632</v>
      </c>
      <c r="C178" s="106"/>
      <c r="D178" s="74">
        <f>D177</f>
        <v>0</v>
      </c>
      <c r="E178" s="74">
        <f>E177</f>
        <v>0</v>
      </c>
      <c r="F178" s="74">
        <f>F177</f>
        <v>0</v>
      </c>
      <c r="G178" s="74">
        <f>G177</f>
        <v>0</v>
      </c>
      <c r="H178" s="74">
        <f>H177</f>
        <v>0</v>
      </c>
      <c r="I178" s="74"/>
    </row>
    <row r="179">
      <c r="B179" t="s" s="20">
        <v>633</v>
      </c>
      <c r="C179" s="106"/>
      <c r="D179" s="74">
        <f>D177</f>
        <v>0</v>
      </c>
      <c r="E179" s="74">
        <f>E177</f>
        <v>0</v>
      </c>
      <c r="F179" s="74">
        <f>F177</f>
        <v>0</v>
      </c>
      <c r="G179" s="74">
        <f>G177</f>
        <v>0</v>
      </c>
      <c r="H179" s="74">
        <f>H177</f>
        <v>0</v>
      </c>
      <c r="I179" s="74"/>
    </row>
    <row r="180">
      <c r="B180" t="s" s="80">
        <v>629</v>
      </c>
      <c r="C180" s="104"/>
      <c r="D180" s="84">
        <f>CHOOSE($D$6,D177,D178,D179)</f>
        <v>0</v>
      </c>
      <c r="E180" s="84">
        <f>CHOOSE($D$6,E177,E178,E179)</f>
        <v>0</v>
      </c>
      <c r="F180" s="84">
        <f>CHOOSE($D$6,F177,F178,F179)</f>
        <v>0</v>
      </c>
      <c r="G180" s="84">
        <f>CHOOSE($D$6,G177,G178,G179)</f>
        <v>0</v>
      </c>
      <c r="H180" s="84">
        <f>CHOOSE($D$6,H177,H178,H179)</f>
        <v>0</v>
      </c>
      <c r="I180" s="84"/>
    </row>
    <row r="181">
      <c r="C181" s="93"/>
    </row>
    <row r="182">
      <c r="B182" t="s" s="125">
        <v>645</v>
      </c>
      <c r="C182" s="117"/>
      <c r="D182" s="116"/>
      <c r="E182" s="116"/>
      <c r="F182" s="116"/>
      <c r="G182" s="116"/>
      <c r="H182" s="116"/>
      <c r="I182" s="116"/>
    </row>
    <row r="183">
      <c r="B183" t="s" s="20">
        <v>631</v>
      </c>
      <c r="C183" s="106"/>
      <c r="D183" s="86">
        <v>3.8</v>
      </c>
      <c r="E183" s="86">
        <v>3.8</v>
      </c>
      <c r="F183" s="86">
        <v>3.8</v>
      </c>
      <c r="G183" s="86">
        <v>3.8</v>
      </c>
      <c r="H183" s="86">
        <v>3.8</v>
      </c>
      <c r="I183" s="74"/>
      <c r="K183" t="s" s="5">
        <v>656</v>
      </c>
    </row>
    <row r="184">
      <c r="B184" t="s" s="20">
        <v>632</v>
      </c>
      <c r="C184" s="106"/>
      <c r="D184" s="74">
        <f>D183</f>
        <v>3.8</v>
      </c>
      <c r="E184" s="74">
        <f>E183</f>
        <v>3.8</v>
      </c>
      <c r="F184" s="74">
        <f>F183</f>
        <v>3.8</v>
      </c>
      <c r="G184" s="74">
        <f>G183</f>
        <v>3.8</v>
      </c>
      <c r="H184" s="74">
        <f>H183</f>
        <v>3.8</v>
      </c>
      <c r="I184" s="74"/>
    </row>
    <row r="185">
      <c r="B185" t="s" s="20">
        <v>633</v>
      </c>
      <c r="C185" s="106"/>
      <c r="D185" s="74">
        <f>D183</f>
        <v>3.8</v>
      </c>
      <c r="E185" s="74">
        <f>E183</f>
        <v>3.8</v>
      </c>
      <c r="F185" s="74">
        <f>F183</f>
        <v>3.8</v>
      </c>
      <c r="G185" s="74">
        <f>G183</f>
        <v>3.8</v>
      </c>
      <c r="H185" s="74">
        <f>H183</f>
        <v>3.8</v>
      </c>
      <c r="I185" s="74"/>
    </row>
    <row r="186">
      <c r="B186" t="s" s="80">
        <v>629</v>
      </c>
      <c r="C186" s="104"/>
      <c r="D186" s="84">
        <f>CHOOSE($D$6,D183,D184,D185)</f>
        <v>3.8</v>
      </c>
      <c r="E186" s="84">
        <f>CHOOSE($D$6,E183,E184,E185)</f>
        <v>3.8</v>
      </c>
      <c r="F186" s="84">
        <f>CHOOSE($D$6,F183,F184,F185)</f>
        <v>3.8</v>
      </c>
      <c r="G186" s="84">
        <f>CHOOSE($D$6,G183,G184,G185)</f>
        <v>3.8</v>
      </c>
      <c r="H186" s="84">
        <f>CHOOSE($D$6,H183,H184,H185)</f>
        <v>3.8</v>
      </c>
      <c r="I186" s="84"/>
    </row>
    <row r="187">
      <c r="C187" s="93"/>
    </row>
    <row r="188">
      <c r="B188" t="s" s="122">
        <v>646</v>
      </c>
      <c r="C188" s="115"/>
      <c r="D188" s="114"/>
      <c r="E188" s="114"/>
      <c r="F188" s="114"/>
      <c r="G188" s="114"/>
      <c r="H188" s="114"/>
      <c r="I188" s="114"/>
    </row>
    <row r="189">
      <c r="B189" t="s" s="20">
        <v>631</v>
      </c>
      <c r="C189" s="91"/>
      <c r="D189" s="123">
        <v>0</v>
      </c>
      <c r="E189" s="123">
        <v>0</v>
      </c>
      <c r="F189" s="123">
        <v>0</v>
      </c>
      <c r="G189" s="123">
        <v>0</v>
      </c>
      <c r="H189" s="123">
        <v>0</v>
      </c>
      <c r="I189" s="77"/>
      <c r="K189" t="s" s="5">
        <v>657</v>
      </c>
    </row>
    <row r="190">
      <c r="B190" t="s" s="20">
        <v>632</v>
      </c>
      <c r="C190" s="91"/>
      <c r="D190" s="77">
        <f>D189</f>
        <v>0</v>
      </c>
      <c r="E190" s="77">
        <f>E189</f>
        <v>0</v>
      </c>
      <c r="F190" s="77">
        <f>F189</f>
        <v>0</v>
      </c>
      <c r="G190" s="77">
        <f>G189</f>
        <v>0</v>
      </c>
      <c r="H190" s="77">
        <f>H189</f>
        <v>0</v>
      </c>
      <c r="I190" s="77"/>
    </row>
    <row r="191">
      <c r="B191" t="s" s="20">
        <v>633</v>
      </c>
      <c r="C191" s="91"/>
      <c r="D191" s="77">
        <f>D189</f>
        <v>0</v>
      </c>
      <c r="E191" s="77">
        <f>E189</f>
        <v>0</v>
      </c>
      <c r="F191" s="77">
        <f>F189</f>
        <v>0</v>
      </c>
      <c r="G191" s="77">
        <f>G189</f>
        <v>0</v>
      </c>
      <c r="H191" s="77">
        <f>H189</f>
        <v>0</v>
      </c>
      <c r="I191" s="77"/>
    </row>
    <row r="192">
      <c r="B192" t="s" s="80">
        <v>629</v>
      </c>
      <c r="C192" s="126"/>
      <c r="D192" s="121">
        <f>CHOOSE($D$6,D189,D190,D191)</f>
        <v>0</v>
      </c>
      <c r="E192" s="121">
        <f>CHOOSE($D$6,E189,E190,E191)</f>
        <v>0</v>
      </c>
      <c r="F192" s="121">
        <f>CHOOSE($D$6,F189,F190,F191)</f>
        <v>0</v>
      </c>
      <c r="G192" s="121">
        <f>CHOOSE($D$6,G189,G190,G191)</f>
        <v>0</v>
      </c>
      <c r="H192" s="121">
        <f>CHOOSE($D$6,H189,H190,H191)</f>
        <v>0</v>
      </c>
      <c r="I192" s="121"/>
    </row>
    <row r="193">
      <c r="B193" t="s" s="6">
        <v>1372</v>
      </c>
      <c r="C193" s="6"/>
      <c r="D193" s="6"/>
      <c r="E193" s="6"/>
      <c r="F193" s="6"/>
      <c r="G193" s="6"/>
      <c r="H193" s="6"/>
      <c r="I193" s="6"/>
      <c r="J193" s="6"/>
      <c r="K193" s="6"/>
    </row>
    <row r="195">
      <c r="B195" t="s" s="144">
        <v>784</v>
      </c>
      <c r="C195" t="s" s="145">
        <v>811</v>
      </c>
      <c r="D195" t="s" s="145">
        <v>812</v>
      </c>
      <c r="E195" t="s" s="145">
        <v>813</v>
      </c>
      <c r="F195" t="s" s="145">
        <v>814</v>
      </c>
      <c r="G195" t="s" s="145">
        <v>815</v>
      </c>
    </row>
    <row r="197">
      <c r="B197" t="s" s="71">
        <v>785</v>
      </c>
      <c r="C197" s="118">
        <v>44895</v>
      </c>
      <c r="D197" s="75">
        <v>77.1</v>
      </c>
      <c r="E197" s="75">
        <v>28.89</v>
      </c>
      <c r="K197" t="s" s="140">
        <v>816</v>
      </c>
    </row>
    <row r="198">
      <c r="B198" t="s" s="71">
        <v>786</v>
      </c>
      <c r="C198" s="118">
        <v>45404</v>
      </c>
      <c r="D198" s="75">
        <v>40.1</v>
      </c>
      <c r="E198" s="75">
        <v>11.7</v>
      </c>
      <c r="F198" s="75">
        <v>28.237</v>
      </c>
      <c r="G198" s="75">
        <v>7</v>
      </c>
      <c r="K198" t="s" s="140">
        <v>817</v>
      </c>
    </row>
    <row r="199">
      <c r="B199" t="s" s="71">
        <v>787</v>
      </c>
      <c r="C199" s="118">
        <v>45747</v>
      </c>
      <c r="D199" s="75">
        <v>112.733</v>
      </c>
      <c r="E199" s="75">
        <v>112.733</v>
      </c>
      <c r="K199" t="s" s="140">
        <v>818</v>
      </c>
    </row>
    <row r="200">
      <c r="B200" t="s" s="71">
        <v>456</v>
      </c>
      <c r="C200" s="118">
        <v>45768</v>
      </c>
      <c r="D200" s="75">
        <v>1401.916</v>
      </c>
      <c r="E200" s="75">
        <v>450</v>
      </c>
      <c r="F200" s="75">
        <v>854.391</v>
      </c>
      <c r="G200" s="75">
        <v>226</v>
      </c>
      <c r="K200" t="s" s="5">
        <v>1457</v>
      </c>
    </row>
    <row r="201">
      <c r="B201" t="s" s="71">
        <v>457</v>
      </c>
      <c r="C201" s="118">
        <v>45777</v>
      </c>
      <c r="D201" s="75">
        <v>531.945</v>
      </c>
      <c r="E201" s="75">
        <v>166.9</v>
      </c>
      <c r="F201" s="75">
        <v>339.247</v>
      </c>
      <c r="G201" s="75">
        <v>44</v>
      </c>
      <c r="K201" t="s" s="140">
        <v>820</v>
      </c>
    </row>
    <row r="202">
      <c r="B202" t="s" s="138">
        <v>788</v>
      </c>
      <c r="C202" s="80"/>
      <c r="D202" s="84">
        <f>SUM(D197:D201)</f>
        <v>2163.794</v>
      </c>
      <c r="E202" s="84">
        <f>SUM(E197:E201)</f>
        <v>770.223</v>
      </c>
      <c r="F202" s="84">
        <f>SUM(F197:F201)</f>
        <v>1221.875</v>
      </c>
      <c r="G202" s="80"/>
      <c r="H202" s="80"/>
    </row>
    <row r="204">
      <c r="B204" t="s" s="142">
        <v>789</v>
      </c>
      <c r="C204" s="114"/>
      <c r="D204" s="114"/>
      <c r="E204" s="114"/>
      <c r="F204" s="114"/>
      <c r="G204" s="114"/>
      <c r="H204" s="114"/>
    </row>
    <row r="205">
      <c r="B205" t="s" s="71">
        <v>790</v>
      </c>
      <c r="D205" s="75">
        <v>12.1</v>
      </c>
      <c r="K205" t="s" s="140">
        <v>821</v>
      </c>
    </row>
    <row r="206">
      <c r="B206" t="s" s="71">
        <v>791</v>
      </c>
      <c r="D206" s="75">
        <v>75</v>
      </c>
    </row>
    <row r="207">
      <c r="B207" t="s" s="71">
        <v>792</v>
      </c>
      <c r="D207" s="119">
        <f>D197/D206</f>
        <v>1.028</v>
      </c>
    </row>
    <row r="208">
      <c r="B208" t="s" s="71">
        <v>793</v>
      </c>
      <c r="D208" s="74">
        <f>G200</f>
        <v>226</v>
      </c>
    </row>
    <row r="209">
      <c r="B209" t="s" s="71">
        <v>794</v>
      </c>
      <c r="D209" s="75">
        <v>53</v>
      </c>
    </row>
    <row r="210">
      <c r="B210" t="s" s="71">
        <v>795</v>
      </c>
      <c r="D210" s="74">
        <f>G198</f>
        <v>7</v>
      </c>
    </row>
  </sheetData>
  <pageMargins left="0.7" right="0.7" top="0.75" bottom="0.75" header="0.3" footer="0.3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118"/>
  <sheetViews>
    <sheetView showGridLines="0" tabSelected="1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A1" sqref="A1"/>
    </sheetView>
  </sheetViews>
  <cols>
    <col min="1" max="1" width="2.21875" customWidth="1"/>
    <col min="2" max="2" width="54.21875" customWidth="1"/>
    <col min="3" max="17" width="12.50390625" customWidth="1"/>
    <col min="18" max="18" width="79.9296875" customWidth="1"/>
  </cols>
  <sheetData>
    <row r="2">
      <c r="B2" t="s" s="73">
        <v>1321</v>
      </c>
    </row>
    <row r="3">
      <c r="B3" t="s" s="5">
        <v>1322</v>
      </c>
    </row>
    <row r="5">
      <c r="B5" t="str" s="154">
        <f>"ARR grows from $"&amp;TEXT(G23,"#,##0")&amp;"m at FY2025A to $"&amp;TEXT(O23,"#,##0")&amp;"m by FY2030E on "&amp;TEXT(K26,"0%")&amp;" organic NRR, "&amp;TEXT(K25,"0%")&amp;" GRR and new ARR of "&amp;TEXT(K27,"0.0%")&amp;" of the base a year; revenue reaches $"&amp;TEXT(O33,"#,##0")&amp;"m ("&amp;TEXT(Q33,"0.0%")&amp;" CAGR), in line with the proxy management case."</f>
        <v>ARR grows from $841m at FY2025A to $1,898m by FY2030E on 113% organic NRR, 98% GRR and new ARR of 8.4% of the base a year; revenue reaches $1,807m (19.8% CAGR), in line with the proxy management case.</v>
      </c>
    </row>
    <row r="6">
      <c r="B6" t="str" s="154">
        <f>"Adjusted EBITDA margin expands from "&amp;TEXT(G69,"0.0%")&amp;" in FY2025A to "&amp;TEXT(O69,"0.0%")&amp;" in FY2030E; GAAP operating income moves from $"&amp;TEXT(G63,"#,##0.0;(#,##0.0)")&amp;"m to $"&amp;TEXT(O63,"#,##0")&amp;"m as SBC is held at $"&amp;TEXT(-K58,"#,##0")&amp;"m a year and deal costs fall away."</f>
        <v>Adjusted EBITDA margin expands from 33.9% in FY2025A to 42.2% in FY2030E; GAAP operating income moves from $(7.7)m to $510m as SBC is held at $127m a year and deal costs fall away.</v>
      </c>
    </row>
    <row r="7">
      <c r="B7" t="str" s="154">
        <f>"Live case: "&amp;Assumptions!$E$6&amp;". Free cash flow (CFO less capex) reaches $"&amp;TEXT(CFS!O63,"#,##0")&amp;"m in FY2030E, "&amp;TEXT(CFS!O65,"0%")&amp;" of Adjusted EBITDA; the balance sheet balances in every year and CFS ending cash is the BS cash line."</f>
        <v>Live case: Base. Free cash flow (CFO less capex) reaches $727m in FY2030E, 95% of Adjusted EBITDA; the balance sheet balances in every year and CFS ending cash is the BS cash line.</v>
      </c>
    </row>
    <row r="9">
      <c r="C9" t="s" s="27">
        <v>219</v>
      </c>
      <c r="D9" s="27"/>
      <c r="E9" s="27"/>
      <c r="F9" s="27"/>
      <c r="G9" s="27"/>
      <c r="H9" t="s" s="137">
        <v>623</v>
      </c>
      <c r="I9" s="101"/>
      <c r="J9" t="s" s="148">
        <v>624</v>
      </c>
      <c r="K9" t="s" s="101">
        <v>647</v>
      </c>
      <c r="L9" s="101"/>
      <c r="M9" s="101"/>
      <c r="N9" s="101"/>
      <c r="O9" s="101"/>
      <c r="P9" t="s" s="137">
        <v>625</v>
      </c>
      <c r="Q9" t="s" s="137">
        <v>625</v>
      </c>
    </row>
    <row r="10">
      <c r="C10" s="87">
        <f>DATE(2021,12,31)</f>
        <v>44561</v>
      </c>
      <c r="D10" s="87">
        <f>EDATE(C10,12)</f>
        <v>44926</v>
      </c>
      <c r="E10" s="87">
        <f>EDATE(D10,12)</f>
        <v>45291</v>
      </c>
      <c r="F10" s="87">
        <f>EDATE(E10,12)</f>
        <v>45657</v>
      </c>
      <c r="G10" s="89">
        <f>EDATE(F10,12)</f>
        <v>46022</v>
      </c>
      <c r="H10" s="100">
        <f>DATE(2025,3,31)</f>
        <v>45747</v>
      </c>
      <c r="I10" s="100">
        <f>EDATE(H10,12)</f>
        <v>46112</v>
      </c>
      <c r="J10" s="149">
        <f>I10</f>
        <v>46112</v>
      </c>
      <c r="K10" s="88">
        <f>EDATE(G10,12)</f>
        <v>46387</v>
      </c>
      <c r="L10" s="88">
        <f>EDATE(K10,12)</f>
        <v>46752</v>
      </c>
      <c r="M10" s="88">
        <f>EDATE(L10,12)</f>
        <v>47118</v>
      </c>
      <c r="N10" s="88">
        <f>EDATE(M10,12)</f>
        <v>47483</v>
      </c>
      <c r="O10" s="88">
        <f>EDATE(N10,12)</f>
        <v>47848</v>
      </c>
      <c r="P10" t="s" s="25">
        <v>899</v>
      </c>
      <c r="Q10" t="s" s="25">
        <v>718</v>
      </c>
    </row>
    <row r="11">
      <c r="J11" s="132"/>
    </row>
    <row r="12">
      <c r="B12" t="s" s="6">
        <v>1395</v>
      </c>
      <c r="C12" s="143"/>
      <c r="D12" s="6"/>
      <c r="E12" s="6"/>
      <c r="F12" s="6"/>
      <c r="G12" s="95"/>
      <c r="H12" s="6"/>
      <c r="I12" s="6"/>
      <c r="J12" s="153"/>
      <c r="K12" s="6"/>
      <c r="L12" s="6"/>
      <c r="M12" s="6"/>
      <c r="N12" s="6"/>
      <c r="O12" s="6"/>
      <c r="P12" s="6"/>
      <c r="Q12" s="6"/>
    </row>
    <row r="13">
      <c r="B13" t="s" s="20">
        <v>1396</v>
      </c>
      <c r="C13" s="75">
        <v>219.901</v>
      </c>
      <c r="D13" s="74">
        <f>C18</f>
        <v>277.78</v>
      </c>
      <c r="E13" s="74">
        <f>D18</f>
        <v>323.461</v>
      </c>
      <c r="F13" s="74">
        <f>E18</f>
        <v>379.096</v>
      </c>
      <c r="G13" s="74">
        <f>F18</f>
        <v>474.924</v>
      </c>
      <c r="H13" s="74"/>
      <c r="I13" s="74"/>
      <c r="J13" s="133"/>
      <c r="K13" s="74">
        <f>G18</f>
        <v>558.962</v>
      </c>
      <c r="L13" s="74">
        <f>K18</f>
        <v>678.5798679999999</v>
      </c>
      <c r="M13" s="74">
        <f>L18</f>
        <v>823.7959597519998</v>
      </c>
      <c r="N13" s="74">
        <f>M18</f>
        <v>1000.0882951389278</v>
      </c>
      <c r="O13" s="74">
        <f>N18</f>
        <v>1214.1071902986585</v>
      </c>
      <c r="P13" s="77"/>
      <c r="Q13" s="77"/>
    </row>
    <row r="14">
      <c r="B14" t="s" s="20">
        <v>1397</v>
      </c>
      <c r="C14" s="74">
        <f>C18-C13-C15+C16+C17</f>
        <v>33.68988999999994</v>
      </c>
      <c r="D14" s="74">
        <f>D18-D13-D15+D16+D17</f>
        <v>29.014200000000027</v>
      </c>
      <c r="E14" s="74">
        <f>E18-E13-E15+E16+E17</f>
        <v>32.992729999999966</v>
      </c>
      <c r="F14" s="74">
        <f>F18-F13-F15+F16+F17</f>
        <v>35.172639999999994</v>
      </c>
      <c r="G14" s="74">
        <f>G18-G13-G15+G16+G17</f>
        <v>22.29788000000007</v>
      </c>
      <c r="H14" s="74"/>
      <c r="I14" s="74"/>
      <c r="J14" s="133"/>
      <c r="K14" s="74">
        <f>K13*K27</f>
        <v>46.952808000000005</v>
      </c>
      <c r="L14" s="74">
        <f>L13*L27</f>
        <v>57.00070891199999</v>
      </c>
      <c r="M14" s="74">
        <f>M13*M27</f>
        <v>69.19886061916799</v>
      </c>
      <c r="N14" s="74">
        <f>N13*N27</f>
        <v>84.00741679166994</v>
      </c>
      <c r="O14" s="74">
        <f>O13*O27</f>
        <v>101.98500398508732</v>
      </c>
      <c r="P14" s="77"/>
      <c r="Q14" s="77"/>
    </row>
    <row r="15">
      <c r="B15" t="s" s="20">
        <v>1398</v>
      </c>
      <c r="C15" s="74">
        <f>C13*(C26-C25)</f>
        <v>28.587130000000027</v>
      </c>
      <c r="D15" s="74">
        <f>D13*(D26-D25)</f>
        <v>22.222400000000018</v>
      </c>
      <c r="E15" s="74">
        <f>E13*(E26-E25)</f>
        <v>29.11149000000003</v>
      </c>
      <c r="F15" s="74">
        <f>F13*(F26-F25)</f>
        <v>68.23727999999998</v>
      </c>
      <c r="G15" s="74">
        <f>G13*(G26-G25)</f>
        <v>71.23859999999995</v>
      </c>
      <c r="H15" s="74"/>
      <c r="I15" s="74"/>
      <c r="J15" s="133"/>
      <c r="K15" s="74">
        <f>K13*(K26-K25)</f>
        <v>83.84429999999995</v>
      </c>
      <c r="L15" s="74">
        <f>L13*(L26-L25)</f>
        <v>101.78698019999993</v>
      </c>
      <c r="M15" s="74">
        <f>M13*(M26-M25)</f>
        <v>123.5693939627999</v>
      </c>
      <c r="N15" s="74">
        <f>N13*(N26-N25)</f>
        <v>150.0132442708391</v>
      </c>
      <c r="O15" s="74">
        <f>O13*(O26-O25)</f>
        <v>182.11607854479865</v>
      </c>
      <c r="P15" s="77"/>
      <c r="Q15" s="77"/>
    </row>
    <row r="16">
      <c r="B16" t="s" s="20">
        <v>1399</v>
      </c>
      <c r="C16" s="74"/>
      <c r="D16" s="74"/>
      <c r="E16" s="74"/>
      <c r="F16" s="74"/>
      <c r="G16" s="74"/>
      <c r="H16" s="74"/>
      <c r="I16" s="74"/>
      <c r="J16" s="133"/>
      <c r="K16" s="74"/>
      <c r="L16" s="74"/>
      <c r="M16" s="74"/>
      <c r="N16" s="74"/>
      <c r="O16" s="74"/>
      <c r="P16" s="77"/>
      <c r="Q16" s="77"/>
    </row>
    <row r="17">
      <c r="B17" t="s" s="20">
        <v>1400</v>
      </c>
      <c r="C17" s="74">
        <f>C13*(1-C25)</f>
        <v>4.398020000000004</v>
      </c>
      <c r="D17" s="74">
        <f>D13*(1-D25)</f>
        <v>5.5556000000000045</v>
      </c>
      <c r="E17" s="74">
        <f>E13*(1-E25)</f>
        <v>6.469220000000006</v>
      </c>
      <c r="F17" s="74">
        <f>F13*(1-F25)</f>
        <v>7.581920000000006</v>
      </c>
      <c r="G17" s="74">
        <f>G13*(1-G25)</f>
        <v>9.498480000000008</v>
      </c>
      <c r="H17" s="74"/>
      <c r="I17" s="74"/>
      <c r="J17" s="133"/>
      <c r="K17" s="74">
        <f>K13*(1-K25)</f>
        <v>11.179240000000009</v>
      </c>
      <c r="L17" s="74">
        <f>L13*(1-L25)</f>
        <v>13.57159736000001</v>
      </c>
      <c r="M17" s="74">
        <f>M13*(1-M25)</f>
        <v>16.47591919504001</v>
      </c>
      <c r="N17" s="74">
        <f>N13*(1-N25)</f>
        <v>20.001765902778576</v>
      </c>
      <c r="O17" s="74">
        <f>O13*(1-O25)</f>
        <v>24.28214380597319</v>
      </c>
      <c r="P17" s="77"/>
      <c r="Q17" s="77"/>
    </row>
    <row r="18">
      <c r="B18" t="s" s="127">
        <v>1401</v>
      </c>
      <c r="C18" s="129">
        <f>C23-C22</f>
        <v>277.78</v>
      </c>
      <c r="D18" s="129">
        <f>D23-D22</f>
        <v>323.461</v>
      </c>
      <c r="E18" s="129">
        <f>E23-E22</f>
        <v>379.096</v>
      </c>
      <c r="F18" s="129">
        <f>F23-F22</f>
        <v>474.924</v>
      </c>
      <c r="G18" s="129">
        <f>G23-G22</f>
        <v>558.962</v>
      </c>
      <c r="H18" s="129"/>
      <c r="I18" s="129"/>
      <c r="J18" s="135"/>
      <c r="K18" s="129">
        <f>K13+K14+K15-K16-K17</f>
        <v>678.5798679999999</v>
      </c>
      <c r="L18" s="129">
        <f>L13+L14+L15-L16-L17</f>
        <v>823.7959597519998</v>
      </c>
      <c r="M18" s="129">
        <f>M13+M14+M15-M16-M17</f>
        <v>1000.0882951389278</v>
      </c>
      <c r="N18" s="129">
        <f>N13+N14+N15-N16-N17</f>
        <v>1214.1071902986585</v>
      </c>
      <c r="O18" s="129">
        <f>O13+O14+O15-O16-O17</f>
        <v>1473.9261290225713</v>
      </c>
      <c r="P18" s="128">
        <f>IFERROR((G18/C18)^(1/(YEAR($G$10)-YEAR($C$10)))-1,"n.m.")</f>
        <v>0.19102349191187673</v>
      </c>
      <c r="Q18" s="128">
        <f>(O18/G18)^(1/(YEAR($O$10)-YEAR($G$10)))-1</f>
        <v>0.21399999999999997</v>
      </c>
    </row>
    <row r="19">
      <c r="B19" t="s">
        <v>1402</v>
      </c>
      <c r="C19" s="74"/>
      <c r="D19" s="74"/>
      <c r="E19" s="74"/>
      <c r="F19" s="74"/>
      <c r="G19" s="74">
        <f>F22</f>
        <v>0</v>
      </c>
      <c r="H19" s="74"/>
      <c r="I19" s="74"/>
      <c r="J19" s="133"/>
      <c r="K19" s="74">
        <f>G22</f>
        <v>282</v>
      </c>
      <c r="L19" s="74">
        <f>K22</f>
        <v>306.0347995707881</v>
      </c>
      <c r="M19" s="74">
        <f>L22</f>
        <v>332.1180799586257</v>
      </c>
      <c r="N19" s="74">
        <f>M22</f>
        <v>360.4244327445851</v>
      </c>
      <c r="O19" s="74">
        <f>N22</f>
        <v>391.1433299127805</v>
      </c>
      <c r="P19" s="77"/>
      <c r="Q19" s="77"/>
    </row>
    <row r="20">
      <c r="B20" t="s" s="20">
        <v>1403</v>
      </c>
      <c r="C20" s="74"/>
      <c r="D20" s="74"/>
      <c r="E20" s="74"/>
      <c r="F20" s="74"/>
      <c r="G20" s="75">
        <v>270.7</v>
      </c>
      <c r="H20" s="74"/>
      <c r="I20" s="74"/>
      <c r="J20" s="133"/>
      <c r="K20" s="74"/>
      <c r="L20" s="74"/>
      <c r="M20" s="74"/>
      <c r="N20" s="74"/>
      <c r="O20" s="74"/>
      <c r="P20" s="77"/>
      <c r="Q20" s="77"/>
    </row>
    <row r="21">
      <c r="B21" t="s" s="20">
        <v>1404</v>
      </c>
      <c r="C21" s="74"/>
      <c r="D21" s="74"/>
      <c r="E21" s="74"/>
      <c r="F21" s="74"/>
      <c r="G21" s="74">
        <f>G22-G19-G20</f>
        <v>11.300000000000011</v>
      </c>
      <c r="H21" s="74"/>
      <c r="I21" s="74"/>
      <c r="J21" s="133"/>
      <c r="K21" s="74">
        <f>K19*K30</f>
        <v>24.034799570788106</v>
      </c>
      <c r="L21" s="74">
        <f>L19*L30</f>
        <v>26.083280387837593</v>
      </c>
      <c r="M21" s="74">
        <f>M19*M30</f>
        <v>28.306352785959383</v>
      </c>
      <c r="N21" s="74">
        <f>N19*N30</f>
        <v>30.71889716819539</v>
      </c>
      <c r="O21" s="74">
        <f>O19*O30</f>
        <v>33.337062191150096</v>
      </c>
      <c r="P21" s="77"/>
      <c r="Q21" s="77"/>
    </row>
    <row r="22">
      <c r="B22" t="s" s="72">
        <v>1405</v>
      </c>
      <c r="C22" s="83"/>
      <c r="D22" s="83"/>
      <c r="E22" s="83"/>
      <c r="F22" s="83"/>
      <c r="G22" s="97">
        <v>282</v>
      </c>
      <c r="H22" s="83"/>
      <c r="I22" s="83"/>
      <c r="J22" s="171"/>
      <c r="K22" s="83">
        <f>SUM(K19:K21)</f>
        <v>306.0347995707881</v>
      </c>
      <c r="L22" s="83">
        <f>SUM(L19:L21)</f>
        <v>332.1180799586257</v>
      </c>
      <c r="M22" s="83">
        <f>SUM(M19:M21)</f>
        <v>360.4244327445851</v>
      </c>
      <c r="N22" s="83">
        <f>SUM(N19:N21)</f>
        <v>391.1433299127805</v>
      </c>
      <c r="O22" s="83">
        <f>SUM(O19:O21)</f>
        <v>424.48039210393057</v>
      </c>
      <c r="P22" s="128"/>
      <c r="Q22" s="128"/>
    </row>
    <row r="23">
      <c r="B23" t="s" s="127">
        <v>1406</v>
      </c>
      <c r="C23" s="161">
        <v>277.78</v>
      </c>
      <c r="D23" s="161">
        <v>323.461</v>
      </c>
      <c r="E23" s="161">
        <v>379.096</v>
      </c>
      <c r="F23" s="161">
        <v>474.924</v>
      </c>
      <c r="G23" s="161">
        <v>840.962</v>
      </c>
      <c r="H23" s="161">
        <v>493.852</v>
      </c>
      <c r="I23" s="161">
        <v>871.814</v>
      </c>
      <c r="J23" s="135">
        <f>I23</f>
        <v>871.814</v>
      </c>
      <c r="K23" s="129">
        <f>K18+K22</f>
        <v>984.614667570788</v>
      </c>
      <c r="L23" s="129">
        <f>L18+L22</f>
        <v>1155.9140397106255</v>
      </c>
      <c r="M23" s="129">
        <f>M18+M22</f>
        <v>1360.512727883513</v>
      </c>
      <c r="N23" s="129">
        <f>N18+N22</f>
        <v>1605.250520211439</v>
      </c>
      <c r="O23" s="129">
        <f>O18+O22</f>
        <v>1898.406521126502</v>
      </c>
      <c r="P23" s="128">
        <f>IFERROR((G23/C23)^(1/(YEAR($G$10)-YEAR($C$10)))-1,"n.m.")</f>
        <v>0.31907305688885623</v>
      </c>
      <c r="Q23" s="128">
        <f>(O23/G23)^(1/(YEAR($O$10)-YEAR($G$10)))-1</f>
        <v>0.17685394904527096</v>
      </c>
    </row>
    <row r="24">
      <c r="B24" t="s" s="4">
        <v>64</v>
      </c>
      <c r="C24" s="99"/>
      <c r="D24" s="99">
        <f>D23/C23-1</f>
        <v>0.1644502843977249</v>
      </c>
      <c r="E24" s="99">
        <f>E23/D23-1</f>
        <v>0.1719990972636578</v>
      </c>
      <c r="F24" s="99">
        <f>F23/E23-1</f>
        <v>0.25278029839407434</v>
      </c>
      <c r="G24" s="99">
        <f>G23/F23-1</f>
        <v>0.7707296325306787</v>
      </c>
      <c r="H24" s="99"/>
      <c r="I24" s="99">
        <f>I23/H23-1</f>
        <v>0.7653345536719502</v>
      </c>
      <c r="J24" s="136"/>
      <c r="K24" s="99">
        <f>K23/G23-1</f>
        <v>0.17081945149815092</v>
      </c>
      <c r="L24" s="99">
        <f>L23/K23-1</f>
        <v>0.17397605152730677</v>
      </c>
      <c r="M24" s="99">
        <f>M23/L23-1</f>
        <v>0.17700164644086103</v>
      </c>
      <c r="N24" s="99">
        <f>N23/M23-1</f>
        <v>0.1798864408337093</v>
      </c>
      <c r="O24" s="99">
        <f>O23/N23-1</f>
        <v>0.18262320879139127</v>
      </c>
      <c r="P24" s="77"/>
      <c r="Q24" s="77"/>
    </row>
    <row r="25">
      <c r="B25" t="s" s="4">
        <v>1407</v>
      </c>
      <c r="C25" s="176">
        <v>0.98</v>
      </c>
      <c r="D25" s="176">
        <v>0.98</v>
      </c>
      <c r="E25" s="176">
        <v>0.98</v>
      </c>
      <c r="F25" s="176">
        <v>0.98</v>
      </c>
      <c r="G25" s="176">
        <v>0.98</v>
      </c>
      <c r="H25" s="176">
        <v>0.98</v>
      </c>
      <c r="I25" s="176">
        <v>0.97</v>
      </c>
      <c r="J25" s="136"/>
      <c r="K25" s="109">
        <f>Assumptions!D$18</f>
        <v>0.98</v>
      </c>
      <c r="L25" s="109">
        <f>Assumptions!E$18</f>
        <v>0.98</v>
      </c>
      <c r="M25" s="109">
        <f>Assumptions!F$18</f>
        <v>0.98</v>
      </c>
      <c r="N25" s="109">
        <f>Assumptions!G$18</f>
        <v>0.98</v>
      </c>
      <c r="O25" s="109">
        <f>Assumptions!H$18</f>
        <v>0.98</v>
      </c>
      <c r="P25" s="77"/>
      <c r="Q25" s="77"/>
    </row>
    <row r="26">
      <c r="B26" t="s" s="4">
        <v>1408</v>
      </c>
      <c r="C26" s="176">
        <v>1.11</v>
      </c>
      <c r="D26" s="176">
        <v>1.06</v>
      </c>
      <c r="E26" s="176">
        <v>1.07</v>
      </c>
      <c r="F26" s="176">
        <v>1.16</v>
      </c>
      <c r="G26" s="176">
        <v>1.13</v>
      </c>
      <c r="H26" s="176">
        <v>1.14</v>
      </c>
      <c r="I26" s="176">
        <v>1.11</v>
      </c>
      <c r="J26" s="136"/>
      <c r="K26" s="109">
        <f>Assumptions!D$12</f>
        <v>1.13</v>
      </c>
      <c r="L26" s="109">
        <f>Assumptions!E$12</f>
        <v>1.13</v>
      </c>
      <c r="M26" s="109">
        <f>Assumptions!F$12</f>
        <v>1.13</v>
      </c>
      <c r="N26" s="109">
        <f>Assumptions!G$12</f>
        <v>1.13</v>
      </c>
      <c r="O26" s="109">
        <f>Assumptions!H$12</f>
        <v>1.13</v>
      </c>
      <c r="P26" s="77"/>
      <c r="Q26" s="77"/>
    </row>
    <row r="27">
      <c r="B27" t="s" s="4">
        <v>1409</v>
      </c>
      <c r="C27" s="99">
        <f>C14/C13</f>
        <v>0.1532048057989729</v>
      </c>
      <c r="D27" s="99">
        <f>D14/D13</f>
        <v>0.10445028439772493</v>
      </c>
      <c r="E27" s="99">
        <f>E14/E13</f>
        <v>0.10199909726365765</v>
      </c>
      <c r="F27" s="99">
        <f>F14/F13</f>
        <v>0.09278029839407431</v>
      </c>
      <c r="G27" s="99">
        <f>G14/G13</f>
        <v>0.046950417329930834</v>
      </c>
      <c r="H27" s="99"/>
      <c r="I27" s="99"/>
      <c r="J27" s="136"/>
      <c r="K27" s="109">
        <f>Assumptions!D$24</f>
        <v>0.084</v>
      </c>
      <c r="L27" s="109">
        <f>Assumptions!E$24</f>
        <v>0.084</v>
      </c>
      <c r="M27" s="109">
        <f>Assumptions!F$24</f>
        <v>0.084</v>
      </c>
      <c r="N27" s="109">
        <f>Assumptions!G$24</f>
        <v>0.084</v>
      </c>
      <c r="O27" s="109">
        <f>Assumptions!H$24</f>
        <v>0.084</v>
      </c>
      <c r="P27" s="77"/>
      <c r="Q27" s="77"/>
    </row>
    <row r="28">
      <c r="B28" t="s" s="4">
        <v>1410</v>
      </c>
      <c r="C28" s="172">
        <f>C35/AVERAGE(C13,C18)</f>
        <v>1.0127852982131125</v>
      </c>
      <c r="D28" s="172">
        <f>D35/AVERAGE(D13,D18)</f>
        <v>1.0093323642266578</v>
      </c>
      <c r="E28" s="172">
        <f>E35/AVERAGE(E13,E18)</f>
        <v>1.048080084605235</v>
      </c>
      <c r="F28" s="172">
        <f>F35/AVERAGE(F13,F18)</f>
        <v>1.0580618720873047</v>
      </c>
      <c r="G28" s="172">
        <f>G35/AVERAGE(G13,G18)</f>
        <v>1.0385439013585638</v>
      </c>
      <c r="H28" s="172"/>
      <c r="I28" s="172"/>
      <c r="J28" s="173"/>
      <c r="K28" s="177">
        <f>Assumptions!D$30</f>
        <v>1.049</v>
      </c>
      <c r="L28" s="177">
        <f>Assumptions!E$30</f>
        <v>1.0441</v>
      </c>
      <c r="M28" s="177">
        <f>Assumptions!F$30</f>
        <v>1.0477</v>
      </c>
      <c r="N28" s="177">
        <f>Assumptions!G$30</f>
        <v>1.0471</v>
      </c>
      <c r="O28" s="177">
        <f>Assumptions!H$30</f>
        <v>1.0443</v>
      </c>
      <c r="P28" s="77"/>
      <c r="Q28" s="77"/>
    </row>
    <row r="29">
      <c r="B29" t="s" s="4">
        <v>1411</v>
      </c>
      <c r="C29" s="172"/>
      <c r="D29" s="172"/>
      <c r="E29" s="172"/>
      <c r="F29" s="172"/>
      <c r="G29" s="172"/>
      <c r="H29" s="172"/>
      <c r="I29" s="172"/>
      <c r="J29" s="173"/>
      <c r="K29" s="177">
        <f>Assumptions!D$42</f>
        <v>0.9893617021276596</v>
      </c>
      <c r="L29" s="177">
        <f>Assumptions!E$42</f>
        <v>0.9893617021276596</v>
      </c>
      <c r="M29" s="177">
        <f>Assumptions!F$42</f>
        <v>0.9893617021276596</v>
      </c>
      <c r="N29" s="177">
        <f>Assumptions!G$42</f>
        <v>0.9893617021276596</v>
      </c>
      <c r="O29" s="177">
        <f>Assumptions!H$42</f>
        <v>0.9893617021276596</v>
      </c>
      <c r="P29" s="77"/>
      <c r="Q29" s="77"/>
    </row>
    <row r="30">
      <c r="B30" t="s" s="4">
        <v>1412</v>
      </c>
      <c r="C30" s="99"/>
      <c r="D30" s="99"/>
      <c r="E30" s="99"/>
      <c r="F30" s="99"/>
      <c r="G30" s="99"/>
      <c r="H30" s="99"/>
      <c r="I30" s="99"/>
      <c r="J30" s="136"/>
      <c r="K30" s="109">
        <f>Assumptions!D$36</f>
        <v>0.08522978571201456</v>
      </c>
      <c r="L30" s="109">
        <f>Assumptions!E$36</f>
        <v>0.08522978571201456</v>
      </c>
      <c r="M30" s="109">
        <f>Assumptions!F$36</f>
        <v>0.08522978571201456</v>
      </c>
      <c r="N30" s="109">
        <f>Assumptions!G$36</f>
        <v>0.08522978571201456</v>
      </c>
      <c r="O30" s="109">
        <f>Assumptions!H$36</f>
        <v>0.08522978571201456</v>
      </c>
      <c r="P30" s="77"/>
      <c r="Q30" s="77"/>
    </row>
    <row r="31">
      <c r="J31" s="132"/>
    </row>
    <row r="32">
      <c r="B32" t="s" s="6">
        <v>1328</v>
      </c>
      <c r="C32" s="143"/>
      <c r="D32" s="6"/>
      <c r="E32" s="6"/>
      <c r="F32" s="6"/>
      <c r="G32" s="95"/>
      <c r="H32" s="6"/>
      <c r="I32" s="6"/>
      <c r="J32" s="153"/>
      <c r="K32" s="6"/>
      <c r="L32" s="6"/>
      <c r="M32" s="6"/>
      <c r="N32" s="6"/>
      <c r="O32" s="6"/>
      <c r="P32" s="6"/>
      <c r="Q32" s="6"/>
    </row>
    <row r="33">
      <c r="B33" t="s" s="138">
        <v>1413</v>
      </c>
      <c r="C33" s="161">
        <v>252.022</v>
      </c>
      <c r="D33" s="161">
        <v>303.426</v>
      </c>
      <c r="E33" s="161">
        <v>368.168</v>
      </c>
      <c r="F33" s="161">
        <v>451.803</v>
      </c>
      <c r="G33" s="159">
        <v>731.368</v>
      </c>
      <c r="H33" s="161">
        <v>126.864</v>
      </c>
      <c r="I33" s="161">
        <v>221.228</v>
      </c>
      <c r="J33" s="135">
        <f>G33+I33-H33</f>
        <v>825.732</v>
      </c>
      <c r="K33" s="129">
        <f>K35+K36</f>
        <v>939.9802648728258</v>
      </c>
      <c r="L33" s="129">
        <f>L35+L36</f>
        <v>1099.9973104323756</v>
      </c>
      <c r="M33" s="129">
        <f>M35+M36</f>
        <v>1298.0292865065198</v>
      </c>
      <c r="N33" s="129">
        <f>N35+N36</f>
        <v>1531.0282268643323</v>
      </c>
      <c r="O33" s="129">
        <f>O35+O36</f>
        <v>1807.0300346386555</v>
      </c>
      <c r="P33" s="121">
        <f>IFERROR((G33/C33)^(1/(YEAR($G$10)-YEAR($C$10)))-1,"n.m.")</f>
        <v>0.30519191588145844</v>
      </c>
      <c r="Q33" s="121">
        <f>(O33/G33)^(1/(YEAR($O$10)-YEAR($G$10)))-1</f>
        <v>0.1983008939669837</v>
      </c>
    </row>
    <row r="34">
      <c r="B34" t="s" s="139">
        <v>64</v>
      </c>
      <c r="C34" s="99"/>
      <c r="D34" s="99">
        <f>D33/C33-1</f>
        <v>0.20396632040059992</v>
      </c>
      <c r="E34" s="99">
        <f>E33/D33-1</f>
        <v>0.21336998147818576</v>
      </c>
      <c r="F34" s="99">
        <f>F33/E33-1</f>
        <v>0.22716531583407562</v>
      </c>
      <c r="G34" s="102">
        <f>G33/F33-1</f>
        <v>0.6187763250797362</v>
      </c>
      <c r="H34" s="99"/>
      <c r="I34" s="99">
        <f>I33/H33-1</f>
        <v>0.7438201538655569</v>
      </c>
      <c r="J34" s="136"/>
      <c r="K34" s="99">
        <f>K33/G33-1</f>
        <v>0.28523570196238524</v>
      </c>
      <c r="L34" s="99">
        <f>L33/K33-1</f>
        <v>0.17023447357290977</v>
      </c>
      <c r="M34" s="99">
        <f>M33/L33-1</f>
        <v>0.18002950934153095</v>
      </c>
      <c r="N34" s="99">
        <f>N33/M33-1</f>
        <v>0.1795020673107457</v>
      </c>
      <c r="O34" s="99">
        <f>O33/N33-1</f>
        <v>0.18027218762621833</v>
      </c>
    </row>
    <row r="35">
      <c r="B35" t="s" s="20">
        <v>1414</v>
      </c>
      <c r="C35" s="74">
        <f>C33-C36</f>
        <v>252.022</v>
      </c>
      <c r="D35" s="74">
        <f>D33-D36</f>
        <v>303.426</v>
      </c>
      <c r="E35" s="74">
        <f>E33-E36</f>
        <v>368.168</v>
      </c>
      <c r="F35" s="74">
        <f>F33-F36</f>
        <v>451.803</v>
      </c>
      <c r="G35" s="74">
        <f>G33-G36</f>
        <v>536.868</v>
      </c>
      <c r="H35" s="74"/>
      <c r="I35" s="74"/>
      <c r="J35" s="133"/>
      <c r="K35" s="74">
        <f>K28*AVERAGE(K13,K18)</f>
        <v>649.0907097659998</v>
      </c>
      <c r="L35" s="74">
        <f>L28*AVERAGE(L13,L18)</f>
        <v>784.3153008779315</v>
      </c>
      <c r="M35" s="74">
        <f>M28*AVERAGE(M13,M18)</f>
        <v>955.4417669246125</v>
      </c>
      <c r="N35" s="74">
        <f>N28*AVERAGE(N13,N18)</f>
        <v>1159.2420464008483</v>
      </c>
      <c r="O35" s="74">
        <f>O28*AVERAGE(O13,O18)</f>
        <v>1403.5565976835803</v>
      </c>
      <c r="P35" s="77">
        <f>IFERROR((G35/C35)^(1/(YEAR($G$10)-YEAR($C$10)))-1,"n.m.")</f>
        <v>0.20811218942053356</v>
      </c>
      <c r="Q35" s="77">
        <f>(O35/G35)^(1/(YEAR($O$10)-YEAR($G$10)))-1</f>
        <v>0.21191589705518843</v>
      </c>
    </row>
    <row r="36">
      <c r="B36" t="s" s="20">
        <v>1445</v>
      </c>
      <c r="C36" s="74">
        <f>SUM(C39:C41)</f>
        <v>0</v>
      </c>
      <c r="D36" s="74">
        <f>SUM(D39:D41)</f>
        <v>0</v>
      </c>
      <c r="E36" s="74">
        <f>SUM(E39:E41)</f>
        <v>0</v>
      </c>
      <c r="F36" s="74">
        <f>SUM(F39:F41)</f>
        <v>0</v>
      </c>
      <c r="G36" s="74">
        <f>SUM(G39:G41)</f>
        <v>194.5</v>
      </c>
      <c r="H36" s="74"/>
      <c r="I36" s="74"/>
      <c r="J36" s="133"/>
      <c r="K36" s="74">
        <f>K29*AVERAGE(K19,K22)</f>
        <v>290.88955510682604</v>
      </c>
      <c r="L36" s="74">
        <f>L29*AVERAGE(L19,L22)</f>
        <v>315.68200955444405</v>
      </c>
      <c r="M36" s="74">
        <f>M29*AVERAGE(M19,M22)</f>
        <v>342.5875195819075</v>
      </c>
      <c r="N36" s="74">
        <f>N29*AVERAGE(N19,N22)</f>
        <v>371.7861804634841</v>
      </c>
      <c r="O36" s="74">
        <f>O29*AVERAGE(O19,O22)</f>
        <v>403.4734369550752</v>
      </c>
    </row>
    <row r="37">
      <c r="B37" t="s" s="146">
        <v>1416</v>
      </c>
      <c r="D37" s="75">
        <v>2.7</v>
      </c>
      <c r="E37" s="79">
        <f>Assumptions!$D$205*Assumptions!$D$207*YEARFRAC(DATE(YEAR(E$10),1,1),EDATE(Assumptions!$C$197,12))</f>
        <v>11.36768111111111</v>
      </c>
      <c r="G37" s="93"/>
      <c r="J37" s="132"/>
      <c r="R37" t="s" s="140">
        <v>822</v>
      </c>
    </row>
    <row r="38">
      <c r="B38" t="s" s="146">
        <v>1417</v>
      </c>
      <c r="F38" s="79">
        <f>Assumptions!$D$210*YEARFRAC(Assumptions!$C$198,F$10)</f>
        <v>4.841666666666667</v>
      </c>
      <c r="G38" s="108">
        <f>Assumptions!$D$210*YEARFRAC(DATE(YEAR(G$10),1,1),EDATE(Assumptions!$C$198,12))</f>
        <v>2.158333333333333</v>
      </c>
      <c r="J38" s="132"/>
      <c r="R38" t="s" s="140">
        <v>823</v>
      </c>
    </row>
    <row r="39">
      <c r="B39" t="s" s="146">
        <v>1418</v>
      </c>
      <c r="G39" s="96">
        <v>0</v>
      </c>
      <c r="J39" s="132"/>
      <c r="R39" t="s" s="5">
        <v>1458</v>
      </c>
    </row>
    <row r="40">
      <c r="B40" t="s" s="146">
        <v>1419</v>
      </c>
      <c r="G40" s="103">
        <v>158.9</v>
      </c>
      <c r="J40" s="132"/>
      <c r="K40" s="79">
        <f>Assumptions!$D$208-G40</f>
        <v>67.1</v>
      </c>
      <c r="R40" t="s" s="5">
        <v>1459</v>
      </c>
    </row>
    <row r="41">
      <c r="B41" t="s" s="146">
        <v>1420</v>
      </c>
      <c r="G41" s="103">
        <v>35.6</v>
      </c>
      <c r="J41" s="132"/>
      <c r="K41" s="79">
        <f>Assumptions!$D$209-G41</f>
        <v>17.4</v>
      </c>
    </row>
    <row r="42">
      <c r="B42" t="s" s="19">
        <v>1432</v>
      </c>
      <c r="C42" s="99"/>
      <c r="D42" s="99">
        <f>D35/C35-1</f>
        <v>0.20396632040059992</v>
      </c>
      <c r="E42" s="99">
        <f>E35/D35-1</f>
        <v>0.21336998147818576</v>
      </c>
      <c r="F42" s="99">
        <f>F35/E35-1</f>
        <v>0.22716531583407562</v>
      </c>
      <c r="G42" s="102">
        <f>G35/F35-1</f>
        <v>0.1882789622910872</v>
      </c>
      <c r="H42" s="99"/>
      <c r="I42" s="99"/>
      <c r="J42" s="136"/>
      <c r="K42" s="99">
        <f>K35/G35-1</f>
        <v>0.20903221977469277</v>
      </c>
      <c r="L42" s="99">
        <f>L35/K35-1</f>
        <v>0.20832926596758838</v>
      </c>
      <c r="M42" s="99">
        <f>M35/L35-1</f>
        <v>0.21818580595728387</v>
      </c>
      <c r="N42" s="99">
        <f>N35/M35-1</f>
        <v>0.21330476281378252</v>
      </c>
      <c r="O42" s="99">
        <f>O35/N35-1</f>
        <v>0.21075370069716381</v>
      </c>
    </row>
    <row r="43">
      <c r="B43" t="s">
        <v>1341</v>
      </c>
      <c r="C43" s="99"/>
      <c r="D43" s="99">
        <f>(D36-C36)/C33</f>
        <v>0</v>
      </c>
      <c r="E43" s="99">
        <f>(E36-D36)/D33</f>
        <v>0</v>
      </c>
      <c r="F43" s="99">
        <f>(F36-E36)/E33</f>
        <v>0</v>
      </c>
      <c r="G43" s="99">
        <f>(G36-F36)/F33</f>
        <v>0.43049736278864903</v>
      </c>
      <c r="H43" s="99"/>
      <c r="I43" s="99"/>
      <c r="J43" s="136"/>
      <c r="K43" s="99">
        <f>(K36-G36)/G33</f>
        <v>0.13179350902257964</v>
      </c>
      <c r="L43" s="99">
        <f>(L36-K36)/K33</f>
        <v>0.026375505288903374</v>
      </c>
      <c r="M43" s="99">
        <f>(M36-L36)/L33</f>
        <v>0.02445961437568215</v>
      </c>
      <c r="N43" s="99">
        <f>(N36-M36)/M33</f>
        <v>0.022494608700363808</v>
      </c>
      <c r="O43" s="99">
        <f>(O36-N36)/N33</f>
        <v>0.02069671606021867</v>
      </c>
    </row>
    <row r="44">
      <c r="J44" s="132"/>
    </row>
    <row r="45">
      <c r="B45" t="s">
        <v>1421</v>
      </c>
      <c r="C45" s="75">
        <v>-61.377</v>
      </c>
      <c r="D45" s="75">
        <v>-75.411</v>
      </c>
      <c r="E45" s="75">
        <v>-86.394</v>
      </c>
      <c r="F45" s="75">
        <v>-98.304</v>
      </c>
      <c r="G45" s="103">
        <v>-157.344</v>
      </c>
      <c r="H45" s="75">
        <v>-26.786</v>
      </c>
      <c r="I45" s="75">
        <v>-48.504</v>
      </c>
      <c r="J45" s="133">
        <f>G45+I45-H45</f>
        <v>-179.06199999999998</v>
      </c>
      <c r="K45" s="79">
        <f>-K33*(1-Assumptions!D81)</f>
        <v>-200.21579641791186</v>
      </c>
      <c r="L45" s="79">
        <f>-L33*(1-Assumptions!E81)</f>
        <v>-228.7994405699341</v>
      </c>
      <c r="M45" s="79">
        <f>-M33*(1-Assumptions!F81)</f>
        <v>-263.4999451608235</v>
      </c>
      <c r="N45" s="79">
        <f>-N33*(1-Assumptions!G81)</f>
        <v>-303.1435889191377</v>
      </c>
      <c r="O45" s="79">
        <f>-O33*(1-Assumptions!H81)</f>
        <v>-348.75679668526044</v>
      </c>
    </row>
    <row r="46">
      <c r="B46" t="s" s="138">
        <v>87</v>
      </c>
      <c r="C46" s="129">
        <f>C33+C45</f>
        <v>190.64499999999998</v>
      </c>
      <c r="D46" s="129">
        <f>D33+D45</f>
        <v>228.015</v>
      </c>
      <c r="E46" s="129">
        <f>E33+E45</f>
        <v>281.774</v>
      </c>
      <c r="F46" s="129">
        <f>F33+F45</f>
        <v>353.499</v>
      </c>
      <c r="G46" s="131">
        <f>G33+G45</f>
        <v>574.0240000000001</v>
      </c>
      <c r="H46" s="129">
        <f>H33+H45</f>
        <v>100.078</v>
      </c>
      <c r="I46" s="129">
        <f>I33+I45</f>
        <v>172.72400000000002</v>
      </c>
      <c r="J46" s="135">
        <f>J33+J45</f>
        <v>646.67</v>
      </c>
      <c r="K46" s="129">
        <f>K33+K45</f>
        <v>739.764468454914</v>
      </c>
      <c r="L46" s="129">
        <f>L33+L45</f>
        <v>871.1978698624415</v>
      </c>
      <c r="M46" s="129">
        <f>M33+M45</f>
        <v>1034.5293413456964</v>
      </c>
      <c r="N46" s="129">
        <f>N33+N45</f>
        <v>1227.8846379451945</v>
      </c>
      <c r="O46" s="129">
        <f>O33+O45</f>
        <v>1458.273237953395</v>
      </c>
      <c r="P46" s="121">
        <f>IFERROR((G46/C46)^(1/(YEAR($G$10)-YEAR($C$10)))-1,"n.m.")</f>
        <v>0.3172741147780076</v>
      </c>
      <c r="Q46" s="121">
        <f>(O46/G46)^(1/(YEAR($O$10)-YEAR($G$10)))-1</f>
        <v>0.204985361510021</v>
      </c>
    </row>
    <row r="47">
      <c r="B47" t="s" s="139">
        <v>66</v>
      </c>
      <c r="C47" s="99">
        <f>C46/C33</f>
        <v>0.7564617374673639</v>
      </c>
      <c r="D47" s="99">
        <f>D46/D33</f>
        <v>0.7514682327816338</v>
      </c>
      <c r="E47" s="99">
        <f>E46/E33</f>
        <v>0.7653408226679125</v>
      </c>
      <c r="F47" s="99">
        <f>F46/F33</f>
        <v>0.7824184434366306</v>
      </c>
      <c r="G47" s="102">
        <f>G46/G33</f>
        <v>0.7848634340031285</v>
      </c>
      <c r="H47" s="99">
        <f>H46/H33</f>
        <v>0.788860512044394</v>
      </c>
      <c r="I47" s="99">
        <f>I46/I33</f>
        <v>0.7807510803334118</v>
      </c>
      <c r="J47" s="136">
        <f>J46/J33</f>
        <v>0.7831475587720955</v>
      </c>
      <c r="K47" s="99">
        <f>K46/K33</f>
        <v>0.787</v>
      </c>
      <c r="L47" s="99">
        <f>L46/L33</f>
        <v>0.792</v>
      </c>
      <c r="M47" s="99">
        <f>M46/M33</f>
        <v>0.797</v>
      </c>
      <c r="N47" s="99">
        <f>N46/N33</f>
        <v>0.802</v>
      </c>
      <c r="O47" s="99">
        <f>O46/O33</f>
        <v>0.807</v>
      </c>
    </row>
    <row r="48">
      <c r="B48" t="s" s="141">
        <v>1422</v>
      </c>
      <c r="C48" s="178">
        <v>446</v>
      </c>
      <c r="D48" s="178">
        <v>609</v>
      </c>
      <c r="E48" s="178">
        <v>638</v>
      </c>
      <c r="F48" s="178">
        <v>648</v>
      </c>
      <c r="G48" s="179">
        <v>937</v>
      </c>
      <c r="H48" s="174"/>
      <c r="I48" s="174"/>
      <c r="J48" s="175"/>
      <c r="K48" s="180">
        <f>G48*(1+Assumptions!D$48)</f>
        <v>1123.8378</v>
      </c>
      <c r="L48" s="180">
        <f>K48*(1+Assumptions!E$48)</f>
        <v>1246.22373642</v>
      </c>
      <c r="M48" s="180">
        <f>L48*(1+Assumptions!F$48)</f>
        <v>1399.758500746944</v>
      </c>
      <c r="N48" s="180">
        <f>M48*(1+Assumptions!G$48)</f>
        <v>1562.830366083963</v>
      </c>
      <c r="O48" s="180">
        <f>N48*(1+Assumptions!H$48)</f>
        <v>1790.847316495613</v>
      </c>
      <c r="P48" s="77">
        <f>IFERROR((G48/C48)^(1/(YEAR($G$10)-YEAR($C$10)))-1,"n.m.")</f>
        <v>0.20392985178781342</v>
      </c>
      <c r="Q48" s="77">
        <f>(O48/G48)^(1/(YEAR($O$10)-YEAR($G$10)))-1</f>
        <v>0.13831849957924813</v>
      </c>
    </row>
    <row r="49">
      <c r="B49" t="s" s="141">
        <v>1423</v>
      </c>
      <c r="C49" s="74">
        <f>-C50/C48*1000</f>
        <v>136.6457399103139</v>
      </c>
      <c r="D49" s="74">
        <f>-D50/D48*1000</f>
        <v>122.84236453201972</v>
      </c>
      <c r="E49" s="74">
        <f>-E50/E48*1000</f>
        <v>152.43573667711598</v>
      </c>
      <c r="F49" s="74">
        <f>-F50/F48*1000</f>
        <v>167.3858024691358</v>
      </c>
      <c r="G49" s="106">
        <f>-G50/G48*1000</f>
        <v>169.7246531483458</v>
      </c>
      <c r="H49" s="74"/>
      <c r="I49" s="74"/>
      <c r="J49" s="133"/>
      <c r="K49" s="79">
        <f>G49*(1+Assumptions!D$54)</f>
        <v>174.81639274279618</v>
      </c>
      <c r="L49" s="79">
        <f>K49*(1+Assumptions!E$54)</f>
        <v>180.06088452508007</v>
      </c>
      <c r="M49" s="79">
        <f>L49*(1+Assumptions!F$54)</f>
        <v>185.46271106083248</v>
      </c>
      <c r="N49" s="79">
        <f>M49*(1+Assumptions!G$54)</f>
        <v>191.02659239265745</v>
      </c>
      <c r="O49" s="79">
        <f>N49*(1+Assumptions!H$54)</f>
        <v>196.75739016443717</v>
      </c>
    </row>
    <row r="50">
      <c r="B50" t="s">
        <v>1424</v>
      </c>
      <c r="C50" s="75">
        <v>-60.944</v>
      </c>
      <c r="D50" s="75">
        <v>-74.811</v>
      </c>
      <c r="E50" s="75">
        <v>-97.254</v>
      </c>
      <c r="F50" s="75">
        <v>-108.466</v>
      </c>
      <c r="G50" s="103">
        <v>-159.032</v>
      </c>
      <c r="H50" s="75">
        <v>-27.451</v>
      </c>
      <c r="I50" s="75">
        <v>-47.907</v>
      </c>
      <c r="J50" s="133">
        <f>G50+I50-H50</f>
        <v>-179.48800000000003</v>
      </c>
      <c r="K50" s="74">
        <f>-K48*K49/1000</f>
        <v>-196.46527022400002</v>
      </c>
      <c r="L50" s="74">
        <f>-L48*L49/1000</f>
        <v>-224.39614829593546</v>
      </c>
      <c r="M50" s="74">
        <f>-M48*M49/1000</f>
        <v>-259.60300637897456</v>
      </c>
      <c r="N50" s="74">
        <f>-N48*N49/1000</f>
        <v>-298.54215932078887</v>
      </c>
      <c r="O50" s="74">
        <f>-O48*O49/1000</f>
        <v>-352.3624441766627</v>
      </c>
    </row>
    <row r="51">
      <c r="B51" t="s" s="139">
        <v>184</v>
      </c>
      <c r="C51" s="99">
        <f>-C50/C33</f>
        <v>0.24182015855758626</v>
      </c>
      <c r="D51" s="99">
        <f>-D50/D33</f>
        <v>0.24655434933064407</v>
      </c>
      <c r="E51" s="99">
        <f>-E50/E33</f>
        <v>0.2641565806914235</v>
      </c>
      <c r="F51" s="99">
        <f>-F50/F33</f>
        <v>0.24007366042279488</v>
      </c>
      <c r="G51" s="102">
        <f>-G50/G33</f>
        <v>0.21744456962842235</v>
      </c>
      <c r="H51" s="99">
        <f>-H50/H33</f>
        <v>0.2163813217303569</v>
      </c>
      <c r="I51" s="99">
        <f>-I50/I33</f>
        <v>0.21655034624911854</v>
      </c>
      <c r="J51" s="136">
        <f>-J50/J33</f>
        <v>0.21736834711504463</v>
      </c>
      <c r="K51" s="99">
        <f>-K50/K33</f>
        <v>0.20900999474768833</v>
      </c>
      <c r="L51" s="99">
        <f>-L50/L33</f>
        <v>0.20399699723604972</v>
      </c>
      <c r="M51" s="99">
        <f>-M50/M33</f>
        <v>0.1999978036533081</v>
      </c>
      <c r="N51" s="99">
        <f>-N50/N33</f>
        <v>0.19499454946838374</v>
      </c>
      <c r="O51" s="99">
        <f>-O50/O33</f>
        <v>0.19499534452791936</v>
      </c>
    </row>
    <row r="52">
      <c r="B52" t="s" s="141">
        <v>1425</v>
      </c>
      <c r="C52" s="178">
        <v>139</v>
      </c>
      <c r="D52" s="178">
        <v>168</v>
      </c>
      <c r="E52" s="178">
        <v>179</v>
      </c>
      <c r="F52" s="178">
        <v>202</v>
      </c>
      <c r="G52" s="179">
        <v>299</v>
      </c>
      <c r="H52" s="174"/>
      <c r="I52" s="174"/>
      <c r="J52" s="175"/>
      <c r="K52" s="180">
        <f>G52*(1+Assumptions!D$60)</f>
        <v>381.9127</v>
      </c>
      <c r="L52" s="180">
        <f>K52*(1+Assumptions!E$60)</f>
        <v>433.89101846999995</v>
      </c>
      <c r="M52" s="180">
        <f>L52*(1+Assumptions!F$60)</f>
        <v>497.06555075923194</v>
      </c>
      <c r="N52" s="180">
        <f>M52*(1+Assumptions!G$60)</f>
        <v>569.2394687294724</v>
      </c>
      <c r="O52" s="180">
        <f>N52*(1+Assumptions!H$60)</f>
        <v>652.2915072171023</v>
      </c>
      <c r="P52" s="77">
        <f>IFERROR((G52/C52)^(1/(YEAR($G$10)-YEAR($C$10)))-1,"n.m.")</f>
        <v>0.21105564127150966</v>
      </c>
      <c r="Q52" s="77">
        <f>(O52/G52)^(1/(YEAR($O$10)-YEAR($G$10)))-1</f>
        <v>0.16883742050356765</v>
      </c>
    </row>
    <row r="53">
      <c r="B53" t="s" s="141">
        <v>1426</v>
      </c>
      <c r="C53" s="74">
        <f>-C54/C52*1000</f>
        <v>228.46762589928056</v>
      </c>
      <c r="D53" s="74">
        <f>-D54/D52*1000</f>
        <v>231.92261904761904</v>
      </c>
      <c r="E53" s="74">
        <f>-E54/E52*1000</f>
        <v>242.21787709497207</v>
      </c>
      <c r="F53" s="74">
        <f>-F54/F52*1000</f>
        <v>250.490099009901</v>
      </c>
      <c r="G53" s="106">
        <f>-G54/G52*1000</f>
        <v>310.65886287625415</v>
      </c>
      <c r="H53" s="74"/>
      <c r="I53" s="74"/>
      <c r="J53" s="133"/>
      <c r="K53" s="79">
        <f>G53*(1+Assumptions!D$66)</f>
        <v>319.9786287625418</v>
      </c>
      <c r="L53" s="79">
        <f>K53*(1+Assumptions!E$66)</f>
        <v>329.5779876254181</v>
      </c>
      <c r="M53" s="79">
        <f>L53*(1+Assumptions!F$66)</f>
        <v>339.46532725418064</v>
      </c>
      <c r="N53" s="79">
        <f>M53*(1+Assumptions!G$66)</f>
        <v>349.64928707180604</v>
      </c>
      <c r="O53" s="79">
        <f>N53*(1+Assumptions!H$66)</f>
        <v>360.13876568396023</v>
      </c>
    </row>
    <row r="54">
      <c r="B54" t="s">
        <v>1427</v>
      </c>
      <c r="C54" s="75">
        <v>-31.757</v>
      </c>
      <c r="D54" s="75">
        <v>-38.963</v>
      </c>
      <c r="E54" s="75">
        <v>-43.357</v>
      </c>
      <c r="F54" s="75">
        <v>-50.599</v>
      </c>
      <c r="G54" s="103">
        <v>-92.887</v>
      </c>
      <c r="H54" s="75">
        <v>-14.478</v>
      </c>
      <c r="I54" s="75">
        <v>-29.812</v>
      </c>
      <c r="J54" s="133">
        <f>G54+I54-H54</f>
        <v>-108.221</v>
      </c>
      <c r="K54" s="74">
        <f>-K52*K53/1000</f>
        <v>-122.20390205299998</v>
      </c>
      <c r="L54" s="74">
        <f>-L52*L53/1000</f>
        <v>-143.00092871608567</v>
      </c>
      <c r="M54" s="74">
        <f>-M52*M53/1000</f>
        <v>-168.73651985526223</v>
      </c>
      <c r="N54" s="74">
        <f>-N52*N53/1000</f>
        <v>-199.03417441439365</v>
      </c>
      <c r="O54" s="74">
        <f>-O52*O53/1000</f>
        <v>-234.91545827529728</v>
      </c>
    </row>
    <row r="55">
      <c r="B55" t="s" s="139">
        <v>184</v>
      </c>
      <c r="C55" s="99">
        <f>-C54/C33</f>
        <v>0.12600884049805178</v>
      </c>
      <c r="D55" s="99">
        <f>-D54/D33</f>
        <v>0.12841022193220095</v>
      </c>
      <c r="E55" s="99">
        <f>-E54/E33</f>
        <v>0.11776417287759935</v>
      </c>
      <c r="F55" s="99">
        <f>-F54/F33</f>
        <v>0.11199350159250823</v>
      </c>
      <c r="G55" s="102">
        <f>-G54/G33</f>
        <v>0.1270044628695814</v>
      </c>
      <c r="H55" s="99">
        <f>-H54/H33</f>
        <v>0.11412220961029133</v>
      </c>
      <c r="I55" s="99">
        <f>-I54/I33</f>
        <v>0.13475690238125373</v>
      </c>
      <c r="J55" s="136">
        <f>-J54/J33</f>
        <v>0.1310606831272132</v>
      </c>
      <c r="K55" s="99">
        <f>-K54/K33</f>
        <v>0.13000688059076804</v>
      </c>
      <c r="L55" s="99">
        <f>-L54/L33</f>
        <v>0.1300011621481841</v>
      </c>
      <c r="M55" s="99">
        <f>-M54/M33</f>
        <v>0.1299943858041871</v>
      </c>
      <c r="N55" s="99">
        <f>-N54/N33</f>
        <v>0.13000032979276382</v>
      </c>
      <c r="O55" s="99">
        <f>-O54/O33</f>
        <v>0.13000085984861473</v>
      </c>
    </row>
    <row r="56">
      <c r="B56" t="s">
        <v>1428</v>
      </c>
      <c r="C56" s="75">
        <v>-25.268</v>
      </c>
      <c r="D56" s="75">
        <v>-33.105</v>
      </c>
      <c r="E56" s="75">
        <v>-35.258</v>
      </c>
      <c r="F56" s="75">
        <v>-48.76</v>
      </c>
      <c r="G56" s="103">
        <v>-73.915</v>
      </c>
      <c r="H56" s="75">
        <v>-13.079</v>
      </c>
      <c r="I56" s="75">
        <v>-17.58</v>
      </c>
      <c r="J56" s="133">
        <f>G56+I56-H56</f>
        <v>-78.416</v>
      </c>
      <c r="K56" s="79">
        <f>G56*(1+Assumptions!D$72)</f>
        <v>-82.7182765</v>
      </c>
      <c r="L56" s="79">
        <f>K56*(1+Assumptions!E$72)</f>
        <v>-85.79539638579999</v>
      </c>
      <c r="M56" s="79">
        <f>L56*(1+Assumptions!F$72)</f>
        <v>-88.25772426207244</v>
      </c>
      <c r="N56" s="79">
        <f>M56*(1+Assumptions!G$72)</f>
        <v>-96.44804107359276</v>
      </c>
      <c r="O56" s="79">
        <f>N56*(1+Assumptions!H$72)</f>
        <v>-108.41724297082564</v>
      </c>
    </row>
    <row r="57">
      <c r="B57" t="s" s="139">
        <v>184</v>
      </c>
      <c r="C57" s="99">
        <f>-C56/C33</f>
        <v>0.10026108831768656</v>
      </c>
      <c r="D57" s="99">
        <f>-D56/D33</f>
        <v>0.10910403195507307</v>
      </c>
      <c r="E57" s="99">
        <f>-E56/E33</f>
        <v>0.09576606331891963</v>
      </c>
      <c r="F57" s="99">
        <f>-F56/F33</f>
        <v>0.10792314349395643</v>
      </c>
      <c r="G57" s="102">
        <f>-G56/G33</f>
        <v>0.10106403342776824</v>
      </c>
      <c r="H57" s="99">
        <f>-H56/H33</f>
        <v>0.10309465254130408</v>
      </c>
      <c r="I57" s="99">
        <f>-I56/I33</f>
        <v>0.07946552877574266</v>
      </c>
      <c r="J57" s="136">
        <f>-J56/J33</f>
        <v>0.09496543672765498</v>
      </c>
      <c r="K57" s="99">
        <f>-K56/K33</f>
        <v>0.08800001403347689</v>
      </c>
      <c r="L57" s="99">
        <f>-L56/L33</f>
        <v>0.07799600560121045</v>
      </c>
      <c r="M57" s="99">
        <f>-M56/M33</f>
        <v>0.0679936309446506</v>
      </c>
      <c r="N57" s="99">
        <f>-N56/N33</f>
        <v>0.0629955995462775</v>
      </c>
      <c r="O57" s="99">
        <f>-O56/O33</f>
        <v>0.05999747701620543</v>
      </c>
    </row>
    <row r="58">
      <c r="B58" t="s" s="20">
        <v>1429</v>
      </c>
      <c r="C58" s="75">
        <v>-36.695</v>
      </c>
      <c r="D58" s="75">
        <v>-65.691</v>
      </c>
      <c r="E58" s="75">
        <v>-104.447</v>
      </c>
      <c r="F58" s="75">
        <v>-103.201</v>
      </c>
      <c r="G58" s="103">
        <v>-127.896</v>
      </c>
      <c r="H58" s="75">
        <v>-23.712</v>
      </c>
      <c r="I58" s="75">
        <v>-28.575</v>
      </c>
      <c r="J58" s="133">
        <f>G58+I58-H58</f>
        <v>-132.75900000000001</v>
      </c>
      <c r="K58" s="79">
        <f>-Assumptions!D96</f>
        <v>-127</v>
      </c>
      <c r="L58" s="79">
        <f>-Assumptions!E96</f>
        <v>-127</v>
      </c>
      <c r="M58" s="79">
        <f>-Assumptions!F96</f>
        <v>-127</v>
      </c>
      <c r="N58" s="79">
        <f>-Assumptions!G96</f>
        <v>-127</v>
      </c>
      <c r="O58" s="79">
        <f>-Assumptions!H96</f>
        <v>-127</v>
      </c>
    </row>
    <row r="59">
      <c r="B59" t="s" s="141">
        <v>663</v>
      </c>
      <c r="C59" s="74">
        <f>-(C65-C108)</f>
        <v>-3.493</v>
      </c>
      <c r="D59" s="74">
        <f>-(D65-D108)</f>
        <v>-4.739</v>
      </c>
      <c r="E59" s="74">
        <f>-(E65-E108)</f>
        <v>-5.6290000000000004</v>
      </c>
      <c r="F59" s="74">
        <f>-(F65-F108)</f>
        <v>-6.5809999999999995</v>
      </c>
      <c r="G59" s="74">
        <f>-(G65-G108)</f>
        <v>-9.840999999999994</v>
      </c>
      <c r="H59" s="74">
        <f>-(H65-H108)</f>
        <v>-1.646</v>
      </c>
      <c r="I59" s="74">
        <f>-(I65-I108)</f>
        <v>-3.0569999999999986</v>
      </c>
      <c r="J59" s="133">
        <f>-(J65-J108)</f>
        <v>-11.251999999999995</v>
      </c>
      <c r="K59" s="79">
        <f>-BS!K73</f>
        <v>-13.317640392718197</v>
      </c>
      <c r="L59" s="79">
        <f>-BS!L73</f>
        <v>-11.236472526066716</v>
      </c>
      <c r="M59" s="79">
        <f>-BS!M73</f>
        <v>-13.979775415675217</v>
      </c>
      <c r="N59" s="79">
        <f>-BS!N73</f>
        <v>-17.36186009264153</v>
      </c>
      <c r="O59" s="79">
        <f>-BS!O73</f>
        <v>-21.49462226202681</v>
      </c>
    </row>
    <row r="60">
      <c r="B60" t="s" s="141">
        <v>665</v>
      </c>
      <c r="C60" s="74">
        <f>-C108</f>
        <v>0</v>
      </c>
      <c r="D60" s="74">
        <f>-D108</f>
        <v>-0.4</v>
      </c>
      <c r="E60" s="74">
        <f>-E108</f>
        <v>-4.3</v>
      </c>
      <c r="F60" s="74">
        <f>-F108</f>
        <v>-5.6</v>
      </c>
      <c r="G60" s="74">
        <f>-G108</f>
        <v>-75.7</v>
      </c>
      <c r="H60" s="74">
        <f>-H108</f>
        <v>-1.5</v>
      </c>
      <c r="I60" s="74">
        <f>-I108</f>
        <v>-26.5</v>
      </c>
      <c r="J60" s="133">
        <f>-J108</f>
        <v>-100.7</v>
      </c>
      <c r="K60" s="79">
        <f>-BS!K78</f>
        <v>-106.08</v>
      </c>
      <c r="L60" s="79">
        <f>-BS!L78</f>
        <v>-106</v>
      </c>
      <c r="M60" s="79">
        <f>-BS!M78</f>
        <v>-105.97</v>
      </c>
      <c r="N60" s="79">
        <f>-BS!N78</f>
        <v>-104.37</v>
      </c>
      <c r="O60" s="79">
        <f>-BS!O78</f>
        <v>-104.37</v>
      </c>
    </row>
    <row r="61">
      <c r="B61" t="s" s="141">
        <v>1430</v>
      </c>
      <c r="C61" s="74">
        <f>-C104</f>
        <v>0</v>
      </c>
      <c r="D61" s="74">
        <f>-D104</f>
        <v>-1.711</v>
      </c>
      <c r="E61" s="74">
        <f>-E104</f>
        <v>-2.052</v>
      </c>
      <c r="F61" s="74">
        <f>-F104</f>
        <v>-8.308</v>
      </c>
      <c r="G61" s="74">
        <f>-G104</f>
        <v>-35.773</v>
      </c>
      <c r="H61" s="74">
        <f>-H104</f>
        <v>-7.28</v>
      </c>
      <c r="I61" s="74">
        <f>-I104</f>
        <v>-6.051</v>
      </c>
      <c r="J61" s="133">
        <f>-J104</f>
        <v>-34.544000000000004</v>
      </c>
      <c r="K61" s="79">
        <f>-Assumptions!D$156</f>
        <v>0</v>
      </c>
      <c r="L61" s="79">
        <f>-Assumptions!E$156</f>
        <v>0</v>
      </c>
      <c r="M61" s="79">
        <f>-Assumptions!F$156</f>
        <v>0</v>
      </c>
      <c r="N61" s="79">
        <f>-Assumptions!G$156</f>
        <v>0</v>
      </c>
      <c r="O61" s="79">
        <f>-Assumptions!H$156</f>
        <v>0</v>
      </c>
    </row>
    <row r="62">
      <c r="B62" t="s" s="141">
        <v>1431</v>
      </c>
      <c r="C62" s="74">
        <f>-(C107+C105+C106)</f>
        <v>-4.027</v>
      </c>
      <c r="D62" s="74">
        <f>-(D107+D105+D106)</f>
        <v>-3.4780000000000033</v>
      </c>
      <c r="E62" s="74">
        <f>-(E107+E105+E106)</f>
        <v>-6.223000000000001</v>
      </c>
      <c r="F62" s="74">
        <f>-(F107+F105+F106)</f>
        <v>-9.750000000000005</v>
      </c>
      <c r="G62" s="74">
        <f>-(G107+G105+G106)</f>
        <v>-6.665999999999986</v>
      </c>
      <c r="H62" s="74">
        <f>-(H107+H105+H106)</f>
        <v>-3.8500000000000014</v>
      </c>
      <c r="I62" s="74">
        <f>-(I107+I105+I106)</f>
        <v>-4.251999999999999</v>
      </c>
      <c r="J62" s="133">
        <f>-(J107+J105+J106)</f>
        <v>-7.067999999999959</v>
      </c>
      <c r="K62" s="79"/>
      <c r="L62" s="79"/>
      <c r="M62" s="79"/>
      <c r="N62" s="79"/>
      <c r="O62" s="79"/>
    </row>
    <row r="63">
      <c r="B63" t="s" s="138">
        <v>667</v>
      </c>
      <c r="C63" s="162">
        <f>C46+C50+C54+C56+SUM(C58:C62)</f>
        <v>28.460999999999956</v>
      </c>
      <c r="D63" s="162">
        <f>D46+D50+D54+D56+SUM(D58:D62)</f>
        <v>5.116999999999976</v>
      </c>
      <c r="E63" s="162">
        <f>E46+E50+E54+E56+SUM(E58:E62)</f>
        <v>-16.746000000000038</v>
      </c>
      <c r="F63" s="162">
        <f>F46+F50+F54+F56+SUM(F58:F62)</f>
        <v>12.234000000000037</v>
      </c>
      <c r="G63" s="162">
        <f>G46+G50+G54+G56+SUM(G58:G62)</f>
        <v>-7.68599999999995</v>
      </c>
      <c r="H63" s="162">
        <f>H46+H50+H54+H56+SUM(H58:H62)</f>
        <v>7.082000000000008</v>
      </c>
      <c r="I63" s="162">
        <f>I46+I50+I54+I56+SUM(I58:I62)</f>
        <v>8.990000000000038</v>
      </c>
      <c r="J63" s="163">
        <f>J46+J50+J54+J56+SUM(J58:J62)</f>
        <v>-5.778000000000077</v>
      </c>
      <c r="K63" s="129">
        <f>K46+K50+K54+K56+SUM(K58:K62)</f>
        <v>91.97937928519576</v>
      </c>
      <c r="L63" s="129">
        <f>L46+L50+L54+L56+SUM(L58:L62)</f>
        <v>173.76892393855368</v>
      </c>
      <c r="M63" s="129">
        <f>M46+M50+M54+M56+SUM(M58:M62)</f>
        <v>270.9823154337119</v>
      </c>
      <c r="N63" s="129">
        <f>N46+N50+N54+N56+SUM(N58:N62)</f>
        <v>385.12840304377767</v>
      </c>
      <c r="O63" s="129">
        <f>O46+O50+O54+O56+SUM(O58:O62)</f>
        <v>509.71347026858257</v>
      </c>
    </row>
    <row r="64">
      <c r="B64" t="s" s="139">
        <v>66</v>
      </c>
      <c r="C64" s="99">
        <f>C63/C33</f>
        <v>0.11293061716834228</v>
      </c>
      <c r="D64" s="99">
        <f>D63/D33</f>
        <v>0.016864078885790855</v>
      </c>
      <c r="E64" s="99">
        <f>E63/E33</f>
        <v>-0.04548467004193748</v>
      </c>
      <c r="F64" s="99">
        <f>F63/F33</f>
        <v>0.02707817345170359</v>
      </c>
      <c r="G64" s="99">
        <f>G63/G33</f>
        <v>-0.010509073407641501</v>
      </c>
      <c r="H64" s="99">
        <f>H63/H33</f>
        <v>0.05582355908689626</v>
      </c>
      <c r="I64" s="99">
        <f>I63/I33</f>
        <v>0.04063680908384127</v>
      </c>
      <c r="J64" s="136">
        <f>J63/J33</f>
        <v>-0.006997427736844493</v>
      </c>
      <c r="K64" s="99">
        <f>K63/K33</f>
        <v>0.0978524578892516</v>
      </c>
      <c r="L64" s="99">
        <f>L63/L33</f>
        <v>0.1579721352866312</v>
      </c>
      <c r="M64" s="99">
        <f>M63/M33</f>
        <v>0.20876440789947523</v>
      </c>
      <c r="N64" s="99">
        <f>N63/N33</f>
        <v>0.25154885865987675</v>
      </c>
      <c r="O64" s="99">
        <f>O63/O33</f>
        <v>0.28207249492148473</v>
      </c>
    </row>
    <row r="65">
      <c r="B65" t="s" s="141">
        <v>69</v>
      </c>
      <c r="C65" s="75">
        <v>3.493</v>
      </c>
      <c r="D65" s="75">
        <v>5.139</v>
      </c>
      <c r="E65" s="75">
        <v>9.929</v>
      </c>
      <c r="F65" s="75">
        <v>12.181</v>
      </c>
      <c r="G65" s="103">
        <v>85.541</v>
      </c>
      <c r="H65" s="75">
        <v>3.146</v>
      </c>
      <c r="I65" s="75">
        <v>29.557</v>
      </c>
      <c r="J65" s="133">
        <f>G65+I65-H65</f>
        <v>111.952</v>
      </c>
      <c r="K65" s="74">
        <f>-(K59+K60)</f>
        <v>119.39764039271819</v>
      </c>
      <c r="L65" s="74">
        <f>-(L59+L60)</f>
        <v>117.23647252606672</v>
      </c>
      <c r="M65" s="74">
        <f>-(M59+M60)</f>
        <v>119.94977541567522</v>
      </c>
      <c r="N65" s="74">
        <f>-(N59+N60)</f>
        <v>121.73186009264154</v>
      </c>
      <c r="O65" s="74">
        <f>-(O59+O60)</f>
        <v>125.86462226202681</v>
      </c>
    </row>
    <row r="66">
      <c r="B66" t="s" s="141">
        <v>676</v>
      </c>
      <c r="C66" s="74">
        <f>-C58</f>
        <v>36.695</v>
      </c>
      <c r="D66" s="74">
        <f>-D58</f>
        <v>65.691</v>
      </c>
      <c r="E66" s="74">
        <f>-E58</f>
        <v>104.447</v>
      </c>
      <c r="F66" s="74">
        <f>-F58</f>
        <v>103.201</v>
      </c>
      <c r="G66" s="74">
        <f>-G58</f>
        <v>127.896</v>
      </c>
      <c r="H66" s="74">
        <f>-H58</f>
        <v>23.712</v>
      </c>
      <c r="I66" s="74">
        <f>-I58</f>
        <v>28.575</v>
      </c>
      <c r="J66" s="133">
        <f>-J58</f>
        <v>132.75900000000001</v>
      </c>
      <c r="K66" s="74">
        <f>-K58</f>
        <v>127</v>
      </c>
      <c r="L66" s="74">
        <f>-L58</f>
        <v>127</v>
      </c>
      <c r="M66" s="74">
        <f>-M58</f>
        <v>127</v>
      </c>
      <c r="N66" s="74">
        <f>-N58</f>
        <v>127</v>
      </c>
      <c r="O66" s="74">
        <f>-O58</f>
        <v>127</v>
      </c>
    </row>
    <row r="67">
      <c r="B67" t="s">
        <v>1346</v>
      </c>
      <c r="C67" s="74">
        <f>-(C61+C62)</f>
        <v>4.027</v>
      </c>
      <c r="D67" s="74">
        <f>-(D61+D62)</f>
        <v>5.189000000000004</v>
      </c>
      <c r="E67" s="74">
        <f>-(E61+E62)</f>
        <v>8.275</v>
      </c>
      <c r="F67" s="74">
        <f>-(F61+F62)</f>
        <v>18.058000000000007</v>
      </c>
      <c r="G67" s="74">
        <f>-(G61+G62)</f>
        <v>42.43899999999999</v>
      </c>
      <c r="H67" s="74">
        <f>-(H61+H62)</f>
        <v>11.130000000000003</v>
      </c>
      <c r="I67" s="74">
        <f>-(I61+I62)</f>
        <v>10.302999999999999</v>
      </c>
      <c r="J67" s="133">
        <f>-(J61+J62)</f>
        <v>41.611999999999966</v>
      </c>
      <c r="K67" s="74">
        <f>-(K61+K62)</f>
        <v>0</v>
      </c>
      <c r="L67" s="74">
        <f>-(L61+L62)</f>
        <v>0</v>
      </c>
      <c r="M67" s="74">
        <f>-(M61+M62)</f>
        <v>0</v>
      </c>
      <c r="N67" s="74">
        <f>-(N61+N62)</f>
        <v>0</v>
      </c>
      <c r="O67" s="74">
        <f>-(O61+O62)</f>
        <v>0</v>
      </c>
    </row>
    <row r="68">
      <c r="B68" t="s" s="138">
        <v>73</v>
      </c>
      <c r="C68" s="129">
        <f>C63+SUM(C65:C67)</f>
        <v>72.67599999999996</v>
      </c>
      <c r="D68" s="129">
        <f>D63+SUM(D65:D67)</f>
        <v>81.13599999999998</v>
      </c>
      <c r="E68" s="129">
        <f>E63+SUM(E65:E67)</f>
        <v>105.90499999999997</v>
      </c>
      <c r="F68" s="129">
        <f>F63+SUM(F65:F67)</f>
        <v>145.67400000000004</v>
      </c>
      <c r="G68" s="131">
        <f>G63+SUM(G65:G67)</f>
        <v>248.19000000000005</v>
      </c>
      <c r="H68" s="129">
        <f>H63+SUM(H65:H67)</f>
        <v>45.07000000000001</v>
      </c>
      <c r="I68" s="129">
        <f>I63+SUM(I65:I67)</f>
        <v>77.42500000000004</v>
      </c>
      <c r="J68" s="135">
        <f>J63+SUM(J65:J67)</f>
        <v>280.5449999999999</v>
      </c>
      <c r="K68" s="129">
        <f>K63+SUM(K65:K67)</f>
        <v>338.37701967791395</v>
      </c>
      <c r="L68" s="129">
        <f>L63+SUM(L65:L67)</f>
        <v>418.0053964646204</v>
      </c>
      <c r="M68" s="129">
        <f>M63+SUM(M65:M67)</f>
        <v>517.9320908493871</v>
      </c>
      <c r="N68" s="129">
        <f>N63+SUM(N65:N67)</f>
        <v>633.8602631364192</v>
      </c>
      <c r="O68" s="129">
        <f>O63+SUM(O65:O67)</f>
        <v>762.5780925306094</v>
      </c>
      <c r="P68" s="121">
        <f>IFERROR((G68/C68)^(1/(YEAR($G$10)-YEAR($C$10)))-1,"n.m.")</f>
        <v>0.3594032870020454</v>
      </c>
      <c r="Q68" s="121">
        <f>(O68/G68)^(1/(YEAR($O$10)-YEAR($G$10)))-1</f>
        <v>0.251699299308936</v>
      </c>
    </row>
    <row r="69">
      <c r="B69" t="s" s="139">
        <v>66</v>
      </c>
      <c r="C69" s="99">
        <f>C68/C33</f>
        <v>0.28837165009403926</v>
      </c>
      <c r="D69" s="99">
        <f>D68/D33</f>
        <v>0.26739962956371566</v>
      </c>
      <c r="E69" s="99">
        <f>E68/E33</f>
        <v>0.2876540057799699</v>
      </c>
      <c r="F69" s="99">
        <f>F68/F33</f>
        <v>0.3224281379273711</v>
      </c>
      <c r="G69" s="102">
        <f>G68/G33</f>
        <v>0.33935036807735647</v>
      </c>
      <c r="H69" s="99">
        <f>H68/H33</f>
        <v>0.35526232816244174</v>
      </c>
      <c r="I69" s="99">
        <f>I68/I33</f>
        <v>0.34997830292729687</v>
      </c>
      <c r="J69" s="136">
        <f>J68/J33</f>
        <v>0.33975309180218266</v>
      </c>
      <c r="K69" s="99">
        <f>K68/K33</f>
        <v>0.35998311062806676</v>
      </c>
      <c r="L69" s="99">
        <f>L68/L33</f>
        <v>0.38000583501455576</v>
      </c>
      <c r="M69" s="99">
        <f>M68/M33</f>
        <v>0.39901417959785423</v>
      </c>
      <c r="N69" s="99">
        <f>N68/N33</f>
        <v>0.41400952119257495</v>
      </c>
      <c r="O69" s="99">
        <f>O68/O33</f>
        <v>0.4220063186072605</v>
      </c>
    </row>
    <row r="70">
      <c r="B70" t="s" s="71">
        <v>541</v>
      </c>
      <c r="C70" s="75">
        <v>72.676</v>
      </c>
      <c r="D70" s="75">
        <v>81.136</v>
      </c>
      <c r="E70" s="75">
        <v>105.906</v>
      </c>
      <c r="F70" s="75">
        <v>145.674</v>
      </c>
      <c r="G70" s="103">
        <v>248.19</v>
      </c>
      <c r="H70" s="75">
        <v>45.07</v>
      </c>
      <c r="I70" s="75">
        <v>77.425</v>
      </c>
      <c r="J70" s="133">
        <f>G70+I70-H70</f>
        <v>280.545</v>
      </c>
    </row>
    <row r="71">
      <c r="B71" t="s" s="5">
        <v>1347</v>
      </c>
      <c r="C71" s="98">
        <f>C68-C70</f>
        <v>0</v>
      </c>
      <c r="D71" s="98">
        <f>D68-D70</f>
        <v>0</v>
      </c>
      <c r="E71" s="98">
        <f>E68-E70</f>
        <v>-0.0010000000000331966</v>
      </c>
      <c r="F71" s="98">
        <f>F68-F70</f>
        <v>0</v>
      </c>
      <c r="G71" s="105">
        <f>G68-G70</f>
        <v>0</v>
      </c>
      <c r="H71" s="98">
        <f>H68-H70</f>
        <v>0</v>
      </c>
      <c r="I71" s="98">
        <f>I68-I70</f>
        <v>0</v>
      </c>
      <c r="J71" s="151">
        <f>J68-J70</f>
        <v>0</v>
      </c>
    </row>
    <row r="72">
      <c r="B72" t="s" s="141">
        <v>542</v>
      </c>
      <c r="C72" s="74">
        <f>C58</f>
        <v>-36.695</v>
      </c>
      <c r="D72" s="74">
        <f>D58</f>
        <v>-65.691</v>
      </c>
      <c r="E72" s="74">
        <f>E58</f>
        <v>-104.447</v>
      </c>
      <c r="F72" s="74">
        <f>F58</f>
        <v>-103.201</v>
      </c>
      <c r="G72" s="74">
        <f>G58</f>
        <v>-127.896</v>
      </c>
      <c r="H72" s="74">
        <f>H58</f>
        <v>-23.712</v>
      </c>
      <c r="I72" s="74">
        <f>I58</f>
        <v>-28.575</v>
      </c>
      <c r="J72" s="133">
        <f>J58</f>
        <v>-132.75900000000001</v>
      </c>
      <c r="K72" s="74">
        <f>K58</f>
        <v>-127</v>
      </c>
      <c r="L72" s="74">
        <f>L58</f>
        <v>-127</v>
      </c>
      <c r="M72" s="74">
        <f>M58</f>
        <v>-127</v>
      </c>
      <c r="N72" s="74">
        <f>N58</f>
        <v>-127</v>
      </c>
      <c r="O72" s="74">
        <f>O58</f>
        <v>-127</v>
      </c>
    </row>
    <row r="73">
      <c r="B73" t="s" s="80">
        <v>662</v>
      </c>
      <c r="C73" s="129">
        <f>C68+C72</f>
        <v>35.98099999999996</v>
      </c>
      <c r="D73" s="129">
        <f>D68+D72</f>
        <v>15.444999999999979</v>
      </c>
      <c r="E73" s="129">
        <f>E68+E72</f>
        <v>1.45799999999997</v>
      </c>
      <c r="F73" s="129">
        <f>F68+F72</f>
        <v>42.47300000000004</v>
      </c>
      <c r="G73" s="131">
        <f>G68+G72</f>
        <v>120.29400000000005</v>
      </c>
      <c r="H73" s="129">
        <f>H68+H72</f>
        <v>21.358000000000008</v>
      </c>
      <c r="I73" s="129">
        <f>I68+I72</f>
        <v>48.85000000000004</v>
      </c>
      <c r="J73" s="135">
        <f>J68+J72</f>
        <v>147.7859999999999</v>
      </c>
      <c r="K73" s="129">
        <f>K68+K72</f>
        <v>211.37701967791395</v>
      </c>
      <c r="L73" s="129">
        <f>L68+L72</f>
        <v>291.0053964646204</v>
      </c>
      <c r="M73" s="129">
        <f>M68+M72</f>
        <v>390.9320908493871</v>
      </c>
      <c r="N73" s="129">
        <f>N68+N72</f>
        <v>506.86026313641923</v>
      </c>
      <c r="O73" s="129">
        <f>O68+O72</f>
        <v>635.5780925306094</v>
      </c>
      <c r="P73" s="121">
        <f>IFERROR((G73/C73)^(1/(YEAR($G$10)-YEAR($C$10)))-1,"n.m.")</f>
        <v>0.35220545694010896</v>
      </c>
      <c r="Q73" s="121">
        <f>(O73/G73)^(1/(YEAR($O$10)-YEAR($G$10)))-1</f>
        <v>0.3950346365760298</v>
      </c>
    </row>
    <row r="74">
      <c r="B74" t="s" s="139">
        <v>66</v>
      </c>
      <c r="C74" s="99">
        <f>C73/C33</f>
        <v>0.14276928204680528</v>
      </c>
      <c r="D74" s="99">
        <f>D73/D33</f>
        <v>0.05090203212644921</v>
      </c>
      <c r="E74" s="99">
        <f>E73/E33</f>
        <v>0.00396014862780027</v>
      </c>
      <c r="F74" s="99">
        <f>F73/F33</f>
        <v>0.09400778657954914</v>
      </c>
      <c r="G74" s="102">
        <f>G73/G33</f>
        <v>0.16447807396550032</v>
      </c>
      <c r="H74" s="99">
        <f>H73/H33</f>
        <v>0.16835351242275198</v>
      </c>
      <c r="I74" s="99">
        <f>I73/I33</f>
        <v>0.22081291699061617</v>
      </c>
      <c r="J74" s="136">
        <f>J73/J33</f>
        <v>0.1789757451570242</v>
      </c>
      <c r="K74" s="99">
        <f>K73/K33</f>
        <v>0.22487389105611924</v>
      </c>
      <c r="L74" s="99">
        <f>L73/L33</f>
        <v>0.2645510072658587</v>
      </c>
      <c r="M74" s="99">
        <f>M73/M33</f>
        <v>0.30117355202480134</v>
      </c>
      <c r="N74" s="99">
        <f>N73/N33</f>
        <v>0.3310587318004642</v>
      </c>
      <c r="O74" s="99">
        <f>O73/O33</f>
        <v>0.3517252510181456</v>
      </c>
    </row>
    <row r="75">
      <c r="B75" t="s" s="141">
        <v>663</v>
      </c>
      <c r="C75" s="74">
        <f>C59</f>
        <v>-3.493</v>
      </c>
      <c r="D75" s="74">
        <f>D59</f>
        <v>-4.739</v>
      </c>
      <c r="E75" s="74">
        <f>E59</f>
        <v>-5.6290000000000004</v>
      </c>
      <c r="F75" s="74">
        <f>F59</f>
        <v>-6.5809999999999995</v>
      </c>
      <c r="G75" s="74">
        <f>G59</f>
        <v>-9.840999999999994</v>
      </c>
      <c r="H75" s="74">
        <f>H59</f>
        <v>-1.646</v>
      </c>
      <c r="I75" s="74">
        <f>I59</f>
        <v>-3.0569999999999986</v>
      </c>
      <c r="J75" s="133">
        <f>J59</f>
        <v>-11.251999999999995</v>
      </c>
      <c r="K75" s="74">
        <f>K59</f>
        <v>-13.317640392718197</v>
      </c>
      <c r="L75" s="74">
        <f>L59</f>
        <v>-11.236472526066716</v>
      </c>
      <c r="M75" s="74">
        <f>M59</f>
        <v>-13.979775415675217</v>
      </c>
      <c r="N75" s="74">
        <f>N59</f>
        <v>-17.36186009264153</v>
      </c>
      <c r="O75" s="74">
        <f>O59</f>
        <v>-21.49462226202681</v>
      </c>
    </row>
    <row r="76">
      <c r="B76" t="s" s="138">
        <v>664</v>
      </c>
      <c r="C76" s="162">
        <f>C73+C75</f>
        <v>32.48799999999996</v>
      </c>
      <c r="D76" s="162">
        <f>D73+D75</f>
        <v>10.705999999999978</v>
      </c>
      <c r="E76" s="162">
        <f>E73+E75</f>
        <v>-4.1710000000000305</v>
      </c>
      <c r="F76" s="162">
        <f>F73+F75</f>
        <v>35.89200000000004</v>
      </c>
      <c r="G76" s="162">
        <f>G73+G75</f>
        <v>110.45300000000006</v>
      </c>
      <c r="H76" s="162">
        <f>H73+H75</f>
        <v>19.712000000000007</v>
      </c>
      <c r="I76" s="162">
        <f>I73+I75</f>
        <v>45.793000000000035</v>
      </c>
      <c r="J76" s="163">
        <f>J73+J75</f>
        <v>136.53399999999988</v>
      </c>
      <c r="K76" s="129">
        <f>K73+K75</f>
        <v>198.05937928519575</v>
      </c>
      <c r="L76" s="129">
        <f>L73+L75</f>
        <v>279.76892393855366</v>
      </c>
      <c r="M76" s="129">
        <f>M73+M75</f>
        <v>376.95231543371193</v>
      </c>
      <c r="N76" s="129">
        <f>N73+N75</f>
        <v>489.4984030437777</v>
      </c>
      <c r="O76" s="129">
        <f>O73+O75</f>
        <v>614.0834702685826</v>
      </c>
      <c r="Q76" s="121">
        <f>(O76/G76)^(1/(YEAR($O$10)-YEAR($G$10)))-1</f>
        <v>0.4093211782132897</v>
      </c>
    </row>
    <row r="77">
      <c r="B77" t="s" s="139">
        <v>66</v>
      </c>
      <c r="C77" s="99">
        <f>C76/C33</f>
        <v>0.12890938092706175</v>
      </c>
      <c r="D77" s="99">
        <f>D76/D33</f>
        <v>0.03528372650992327</v>
      </c>
      <c r="E77" s="99">
        <f>E76/E33</f>
        <v>-0.011329067164989978</v>
      </c>
      <c r="F77" s="99">
        <f>F76/F33</f>
        <v>0.07944170357434555</v>
      </c>
      <c r="G77" s="99">
        <f>G76/G33</f>
        <v>0.15102246748558873</v>
      </c>
      <c r="H77" s="99">
        <f>H76/H33</f>
        <v>0.15537898852314294</v>
      </c>
      <c r="I77" s="99">
        <f>I76/I33</f>
        <v>0.20699459381271826</v>
      </c>
      <c r="J77" s="136">
        <f>J76/J33</f>
        <v>0.16534904787509735</v>
      </c>
      <c r="K77" s="99">
        <f>K76/K33</f>
        <v>0.21070589105611923</v>
      </c>
      <c r="L77" s="99">
        <f>L76/L33</f>
        <v>0.25433600726585864</v>
      </c>
      <c r="M77" s="99">
        <f>M76/M33</f>
        <v>0.2904035520248014</v>
      </c>
      <c r="N77" s="99">
        <f>N76/N33</f>
        <v>0.31971873180046423</v>
      </c>
      <c r="O77" s="99">
        <f>O76/O33</f>
        <v>0.33983025101814557</v>
      </c>
    </row>
    <row r="78">
      <c r="J78" s="132"/>
    </row>
    <row r="79">
      <c r="B79" t="s" s="6">
        <v>1329</v>
      </c>
      <c r="C79" s="143"/>
      <c r="D79" s="6"/>
      <c r="E79" s="6"/>
      <c r="F79" s="6"/>
      <c r="G79" s="95"/>
      <c r="H79" s="6"/>
      <c r="I79" s="6"/>
      <c r="J79" s="153"/>
      <c r="K79" s="6"/>
      <c r="L79" s="6"/>
      <c r="M79" s="6"/>
      <c r="N79" s="6"/>
      <c r="O79" s="6"/>
      <c r="P79" s="6"/>
      <c r="Q79" s="6"/>
    </row>
    <row r="80">
      <c r="B80" t="s" s="138">
        <v>667</v>
      </c>
      <c r="C80" s="162">
        <f>C100</f>
        <v>28.460999999999984</v>
      </c>
      <c r="D80" s="162">
        <f>D100</f>
        <v>5.11699999999999</v>
      </c>
      <c r="E80" s="162">
        <f>E100</f>
        <v>-16.745000000000005</v>
      </c>
      <c r="F80" s="162">
        <f>F100</f>
        <v>12.234000000000037</v>
      </c>
      <c r="G80" s="162">
        <f>G100</f>
        <v>-7.685999999999979</v>
      </c>
      <c r="H80" s="162">
        <f>H100</f>
        <v>7.081999999999994</v>
      </c>
      <c r="I80" s="162">
        <f>I100</f>
        <v>8.990000000000038</v>
      </c>
      <c r="J80" s="163">
        <f>J100</f>
        <v>-5.778000000000134</v>
      </c>
      <c r="K80" s="162">
        <f>K63</f>
        <v>91.97937928519576</v>
      </c>
      <c r="L80" s="162">
        <f>L63</f>
        <v>173.76892393855368</v>
      </c>
      <c r="M80" s="162">
        <f>M63</f>
        <v>270.9823154337119</v>
      </c>
      <c r="N80" s="162">
        <f>N63</f>
        <v>385.12840304377767</v>
      </c>
      <c r="O80" s="162">
        <f>O63</f>
        <v>509.71347026858257</v>
      </c>
    </row>
    <row r="81">
      <c r="B81" t="s">
        <v>668</v>
      </c>
      <c r="C81" s="75">
        <v>-25.682</v>
      </c>
      <c r="D81" s="75">
        <v>1.137</v>
      </c>
      <c r="E81" s="75">
        <v>-4.729</v>
      </c>
      <c r="F81" s="75">
        <v>-4.325</v>
      </c>
      <c r="G81" s="103">
        <v>-45.664</v>
      </c>
      <c r="H81" s="75">
        <v>-0.919</v>
      </c>
      <c r="I81" s="75">
        <v>-12.646</v>
      </c>
      <c r="J81" s="133">
        <f>G81+I81-H81</f>
        <v>-57.391000000000005</v>
      </c>
      <c r="K81" s="79">
        <f>-BS!K89</f>
        <v>-54.08</v>
      </c>
      <c r="L81" s="79">
        <f>-BS!L89</f>
        <v>-53.599999999999994</v>
      </c>
      <c r="M81" s="79">
        <f>-BS!M89</f>
        <v>-53.12</v>
      </c>
      <c r="N81" s="79">
        <f>-BS!N89</f>
        <v>-52.63999999999999</v>
      </c>
      <c r="O81" s="79">
        <f>-BS!O89</f>
        <v>-50.839999999999996</v>
      </c>
    </row>
    <row r="82">
      <c r="B82" t="s">
        <v>1348</v>
      </c>
      <c r="C82" s="75">
        <v>0</v>
      </c>
      <c r="D82" s="75">
        <v>-11.639</v>
      </c>
      <c r="E82" s="75">
        <v>-14.396</v>
      </c>
      <c r="F82" s="75">
        <v>-53.181</v>
      </c>
      <c r="G82" s="103">
        <v>0</v>
      </c>
      <c r="J82" s="133">
        <f>G82+I82-H82</f>
        <v>0</v>
      </c>
    </row>
    <row r="83">
      <c r="B83" t="s">
        <v>1349</v>
      </c>
      <c r="C83" s="75">
        <v>-10.303</v>
      </c>
      <c r="G83" s="93"/>
      <c r="J83" s="133">
        <f>G83+I83-H83</f>
        <v>0</v>
      </c>
    </row>
    <row r="84">
      <c r="B84" t="s">
        <v>1350</v>
      </c>
      <c r="C84" s="75">
        <v>-0.083</v>
      </c>
      <c r="D84" s="75">
        <v>0.05</v>
      </c>
      <c r="E84" s="75">
        <v>13.004</v>
      </c>
      <c r="F84" s="75">
        <v>15.209</v>
      </c>
      <c r="G84" s="103">
        <v>3.678</v>
      </c>
      <c r="H84" s="75">
        <v>2.323</v>
      </c>
      <c r="I84" s="75">
        <v>0.051</v>
      </c>
      <c r="J84" s="133">
        <f>G84+I84-H84</f>
        <v>1.4060000000000001</v>
      </c>
      <c r="K84" s="79">
        <f>BS!K90</f>
        <v>8.703544945749428</v>
      </c>
      <c r="L84" s="79">
        <f>BS!L90</f>
        <v>20.637340244181914</v>
      </c>
      <c r="M84" s="79">
        <f>BS!M90</f>
        <v>36.531273800034526</v>
      </c>
      <c r="N84" s="79">
        <f>BS!N90</f>
        <v>57.06114587633835</v>
      </c>
      <c r="O84" s="79">
        <f>BS!O90</f>
        <v>82.07923761118782</v>
      </c>
    </row>
    <row r="85">
      <c r="B85" t="s" s="138">
        <v>550</v>
      </c>
      <c r="C85" s="129">
        <f>C80+SUM(C81:C84)</f>
        <v>-7.6070000000000135</v>
      </c>
      <c r="D85" s="129">
        <f>D80+SUM(D81:D84)</f>
        <v>-5.335000000000008</v>
      </c>
      <c r="E85" s="129">
        <f>E80+SUM(E81:E84)</f>
        <v>-22.866000000000007</v>
      </c>
      <c r="F85" s="129">
        <f>F80+SUM(F81:F84)</f>
        <v>-30.06299999999996</v>
      </c>
      <c r="G85" s="131">
        <f>G80+SUM(G81:G84)</f>
        <v>-49.67199999999998</v>
      </c>
      <c r="H85" s="129">
        <f>H80+SUM(H81:H84)</f>
        <v>8.485999999999994</v>
      </c>
      <c r="I85" s="129">
        <f>I80+SUM(I81:I84)</f>
        <v>-3.604999999999963</v>
      </c>
      <c r="J85" s="135">
        <f>J80+SUM(J81:J84)</f>
        <v>-61.76300000000014</v>
      </c>
      <c r="K85" s="129">
        <f>K80+SUM(K81:K84)</f>
        <v>46.60292423094519</v>
      </c>
      <c r="L85" s="129">
        <f>L80+SUM(L81:L84)</f>
        <v>140.80626418273562</v>
      </c>
      <c r="M85" s="129">
        <f>M80+SUM(M81:M84)</f>
        <v>254.39358923374644</v>
      </c>
      <c r="N85" s="129">
        <f>N80+SUM(N81:N84)</f>
        <v>389.549548920116</v>
      </c>
      <c r="O85" s="129">
        <f>O80+SUM(O81:O84)</f>
        <v>540.9527078797704</v>
      </c>
    </row>
    <row r="86">
      <c r="B86" t="s">
        <v>1351</v>
      </c>
      <c r="C86" s="75">
        <v>-0.487</v>
      </c>
      <c r="D86" s="75">
        <v>-1.36</v>
      </c>
      <c r="E86" s="75">
        <v>-0.217</v>
      </c>
      <c r="F86" s="75">
        <v>457.648</v>
      </c>
      <c r="G86" s="103">
        <v>9.418</v>
      </c>
      <c r="H86" s="75">
        <v>-1.55</v>
      </c>
      <c r="I86" s="75">
        <v>0.809</v>
      </c>
      <c r="J86" s="133">
        <f>G86+I86-H86</f>
        <v>11.777</v>
      </c>
      <c r="K86" s="79">
        <f>-BS!K102</f>
        <v>-40.17073105773589</v>
      </c>
      <c r="L86" s="79">
        <f>-BS!L102</f>
        <v>-63.7015660456907</v>
      </c>
      <c r="M86" s="79">
        <f>-BS!M102</f>
        <v>-92.09089730843976</v>
      </c>
      <c r="N86" s="79">
        <f>-BS!N102</f>
        <v>-125.47988722921897</v>
      </c>
      <c r="O86" s="79">
        <f>-BS!O102</f>
        <v>-163.33067699449964</v>
      </c>
    </row>
    <row r="87">
      <c r="B87" t="s" s="138">
        <v>552</v>
      </c>
      <c r="C87" s="129">
        <f>C85+C86</f>
        <v>-8.094000000000014</v>
      </c>
      <c r="D87" s="129">
        <f>D85+D86</f>
        <v>-6.695000000000008</v>
      </c>
      <c r="E87" s="129">
        <f>E85+E86</f>
        <v>-23.083000000000006</v>
      </c>
      <c r="F87" s="129">
        <f>F85+F86</f>
        <v>427.58500000000004</v>
      </c>
      <c r="G87" s="131">
        <f>G85+G86</f>
        <v>-40.253999999999984</v>
      </c>
      <c r="H87" s="129">
        <f>H85+H86</f>
        <v>6.935999999999994</v>
      </c>
      <c r="I87" s="129">
        <f>I85+I86</f>
        <v>-2.795999999999963</v>
      </c>
      <c r="J87" s="135">
        <f>J85+J86</f>
        <v>-49.98600000000014</v>
      </c>
      <c r="K87" s="129">
        <f>K85+K86</f>
        <v>6.432193173209299</v>
      </c>
      <c r="L87" s="129">
        <f>L85+L86</f>
        <v>77.10469813704492</v>
      </c>
      <c r="M87" s="129">
        <f>M85+M86</f>
        <v>162.30269192530668</v>
      </c>
      <c r="N87" s="129">
        <f>N85+N86</f>
        <v>264.0696616908971</v>
      </c>
      <c r="O87" s="129">
        <f>O85+O86</f>
        <v>377.62203088527076</v>
      </c>
    </row>
    <row r="88">
      <c r="B88" t="s" s="20">
        <v>671</v>
      </c>
      <c r="C88" s="75">
        <v>-0.119</v>
      </c>
      <c r="D88" s="75">
        <v>-1.272</v>
      </c>
      <c r="E88" s="75">
        <v>1.456</v>
      </c>
      <c r="F88" s="75">
        <v>-3.207</v>
      </c>
      <c r="G88" s="103">
        <v>1.447</v>
      </c>
      <c r="H88" s="75">
        <v>-0.426</v>
      </c>
      <c r="I88" s="75">
        <v>0.02</v>
      </c>
      <c r="J88" s="133">
        <f>G88+I88-H88</f>
        <v>1.893</v>
      </c>
      <c r="K88" s="79">
        <f>-K87*Assumptions!D192</f>
        <v>0</v>
      </c>
      <c r="L88" s="79">
        <f>-L87*Assumptions!E192</f>
        <v>0</v>
      </c>
      <c r="M88" s="79">
        <f>-M87*Assumptions!F192</f>
        <v>0</v>
      </c>
      <c r="N88" s="79">
        <f>-N87*Assumptions!G192</f>
        <v>0</v>
      </c>
      <c r="O88" s="79">
        <f>-O87*Assumptions!H192</f>
        <v>0</v>
      </c>
    </row>
    <row r="89">
      <c r="B89" t="s" s="138">
        <v>554</v>
      </c>
      <c r="C89" s="129">
        <f>C87+C88</f>
        <v>-8.213000000000013</v>
      </c>
      <c r="D89" s="129">
        <f>D87+D88</f>
        <v>-7.9670000000000085</v>
      </c>
      <c r="E89" s="129">
        <f>E87+E88</f>
        <v>-21.627000000000006</v>
      </c>
      <c r="F89" s="129">
        <f>F87+F88</f>
        <v>424.37800000000004</v>
      </c>
      <c r="G89" s="131">
        <f>G87+G88</f>
        <v>-38.80699999999998</v>
      </c>
      <c r="H89" s="129">
        <f>H87+H88</f>
        <v>6.509999999999994</v>
      </c>
      <c r="I89" s="129">
        <f>I87+I88</f>
        <v>-2.775999999999963</v>
      </c>
      <c r="J89" s="135">
        <f>J87+J88</f>
        <v>-48.09300000000014</v>
      </c>
      <c r="K89" s="129">
        <f>K87+K88</f>
        <v>6.432193173209299</v>
      </c>
      <c r="L89" s="129">
        <f>L87+L88</f>
        <v>77.10469813704492</v>
      </c>
      <c r="M89" s="129">
        <f>M87+M88</f>
        <v>162.30269192530668</v>
      </c>
      <c r="N89" s="129">
        <f>N87+N88</f>
        <v>264.0696616908971</v>
      </c>
      <c r="O89" s="129">
        <f>O87+O88</f>
        <v>377.62203088527076</v>
      </c>
    </row>
    <row r="90">
      <c r="B90" t="s" s="139">
        <v>66</v>
      </c>
      <c r="C90" s="99">
        <f>C89/C33</f>
        <v>-0.032588424820055445</v>
      </c>
      <c r="D90" s="99">
        <f>D89/D33</f>
        <v>-0.026256813852471472</v>
      </c>
      <c r="E90" s="99">
        <f>E89/E33</f>
        <v>-0.05874220464570524</v>
      </c>
      <c r="F90" s="99">
        <f>F89/F33</f>
        <v>0.9392987651697754</v>
      </c>
      <c r="G90" s="99">
        <f>G89/G33</f>
        <v>-0.05306083941326388</v>
      </c>
      <c r="H90" s="99">
        <f>H89/H33</f>
        <v>0.05131479379492995</v>
      </c>
      <c r="I90" s="99">
        <f>I89/I33</f>
        <v>-0.012548140380060222</v>
      </c>
      <c r="J90" s="136">
        <f>J89/J33</f>
        <v>-0.05824286814608146</v>
      </c>
      <c r="K90" s="99">
        <f>K89/K33</f>
        <v>0.006842902360380448</v>
      </c>
      <c r="L90" s="99">
        <f>L89/L33</f>
        <v>0.07009535151202997</v>
      </c>
      <c r="M90" s="99">
        <f>M89/M33</f>
        <v>0.12503777350210923</v>
      </c>
      <c r="N90" s="99">
        <f>N89/N33</f>
        <v>0.17247863694305152</v>
      </c>
      <c r="O90" s="99">
        <f>O89/O33</f>
        <v>0.2089738541400516</v>
      </c>
    </row>
    <row r="91">
      <c r="J91" s="132"/>
    </row>
    <row r="92">
      <c r="B92" t="s" s="6">
        <v>1330</v>
      </c>
      <c r="C92" s="143"/>
      <c r="D92" s="6"/>
      <c r="E92" s="6"/>
      <c r="F92" s="6"/>
      <c r="G92" s="95"/>
      <c r="H92" s="6"/>
      <c r="I92" s="6"/>
      <c r="J92" s="153"/>
      <c r="K92" s="6"/>
      <c r="L92" s="6"/>
      <c r="M92" s="6"/>
      <c r="N92" s="6"/>
      <c r="O92" s="6"/>
      <c r="P92" s="6"/>
      <c r="Q92" s="6"/>
    </row>
    <row r="93">
      <c r="B93" t="s" s="71">
        <v>33</v>
      </c>
      <c r="C93" s="75">
        <v>-67.864</v>
      </c>
      <c r="D93" s="75">
        <v>-87.784</v>
      </c>
      <c r="E93" s="75">
        <v>-107.127</v>
      </c>
      <c r="F93" s="75">
        <v>-122.987</v>
      </c>
      <c r="G93" s="103">
        <v>-239.22</v>
      </c>
      <c r="H93" s="75">
        <v>-33.924</v>
      </c>
      <c r="I93" s="75">
        <v>-75.681</v>
      </c>
      <c r="J93" s="133">
        <f>G93+I93-H93</f>
        <v>-280.97700000000003</v>
      </c>
    </row>
    <row r="94">
      <c r="B94" t="s" s="138">
        <v>65</v>
      </c>
      <c r="C94" s="129">
        <f>C33+C93</f>
        <v>184.158</v>
      </c>
      <c r="D94" s="129">
        <f>D33+D93</f>
        <v>215.642</v>
      </c>
      <c r="E94" s="129">
        <f>E33+E93</f>
        <v>261.041</v>
      </c>
      <c r="F94" s="129">
        <f>F33+F93</f>
        <v>328.81600000000003</v>
      </c>
      <c r="G94" s="131">
        <f>G33+G93</f>
        <v>492.148</v>
      </c>
      <c r="H94" s="129">
        <f>H33+H93</f>
        <v>92.94</v>
      </c>
      <c r="I94" s="129">
        <f>I33+I93</f>
        <v>145.54700000000003</v>
      </c>
      <c r="J94" s="135">
        <f>J33+J93</f>
        <v>544.7549999999999</v>
      </c>
      <c r="K94" s="157"/>
      <c r="L94" s="157"/>
      <c r="M94" s="157"/>
      <c r="N94" s="157"/>
      <c r="O94" s="157"/>
      <c r="P94" s="121">
        <f>IFERROR((G94/C94)^(1/(YEAR($G$10)-YEAR($C$10)))-1,"n.m.")</f>
        <v>0.2785752216338846</v>
      </c>
    </row>
    <row r="95">
      <c r="B95" t="s" s="139">
        <v>66</v>
      </c>
      <c r="C95" s="99">
        <f>C94/C33</f>
        <v>0.730721921102126</v>
      </c>
      <c r="D95" s="99">
        <f>D94/D33</f>
        <v>0.7106905802403222</v>
      </c>
      <c r="E95" s="99">
        <f>E94/E33</f>
        <v>0.7090268573042741</v>
      </c>
      <c r="F95" s="99">
        <f>F94/F33</f>
        <v>0.7277862254124032</v>
      </c>
      <c r="G95" s="102">
        <f>G94/G33</f>
        <v>0.6729143194670808</v>
      </c>
      <c r="H95" s="99">
        <f>H94/H33</f>
        <v>0.732595535376466</v>
      </c>
      <c r="I95" s="99">
        <f>I94/I33</f>
        <v>0.6579049668215597</v>
      </c>
      <c r="J95" s="136">
        <f>J94/J33</f>
        <v>0.6597237360305764</v>
      </c>
    </row>
    <row r="96">
      <c r="B96" t="s" s="71">
        <v>34</v>
      </c>
      <c r="C96" s="75">
        <v>-72.69</v>
      </c>
      <c r="D96" s="75">
        <v>-94.12</v>
      </c>
      <c r="E96" s="75">
        <v>-123.925</v>
      </c>
      <c r="F96" s="75">
        <v>-150.558</v>
      </c>
      <c r="G96" s="103">
        <v>-196.228</v>
      </c>
      <c r="H96" s="75">
        <v>-37.4</v>
      </c>
      <c r="I96" s="75">
        <v>-57.05</v>
      </c>
      <c r="J96" s="133">
        <f>G96+I96-H96</f>
        <v>-215.87800000000001</v>
      </c>
    </row>
    <row r="97">
      <c r="B97" t="s" s="71">
        <v>35</v>
      </c>
      <c r="C97" s="75">
        <v>-39.065</v>
      </c>
      <c r="D97" s="75">
        <v>-52.638</v>
      </c>
      <c r="E97" s="75">
        <v>-60.365</v>
      </c>
      <c r="F97" s="75">
        <v>-67.254</v>
      </c>
      <c r="G97" s="103">
        <v>-149.18</v>
      </c>
      <c r="H97" s="75">
        <v>-19.631</v>
      </c>
      <c r="I97" s="75">
        <v>-46.241</v>
      </c>
      <c r="J97" s="133">
        <f>G97+I97-H97</f>
        <v>-175.79</v>
      </c>
    </row>
    <row r="98">
      <c r="B98" t="s" s="71">
        <v>36</v>
      </c>
      <c r="C98" s="75">
        <v>-43.942</v>
      </c>
      <c r="D98" s="75">
        <v>-63.767</v>
      </c>
      <c r="E98" s="75">
        <v>-93.496</v>
      </c>
      <c r="F98" s="75">
        <v>-98.77</v>
      </c>
      <c r="G98" s="103">
        <v>-154.426</v>
      </c>
      <c r="H98" s="75">
        <v>-28.827</v>
      </c>
      <c r="I98" s="75">
        <v>-33.266</v>
      </c>
      <c r="J98" s="133">
        <f>G98+I98-H98</f>
        <v>-158.86499999999998</v>
      </c>
    </row>
    <row r="99">
      <c r="B99" t="s" s="138">
        <v>67</v>
      </c>
      <c r="C99" s="129">
        <f>SUM(C96:C98)</f>
        <v>-155.697</v>
      </c>
      <c r="D99" s="129">
        <f>SUM(D96:D98)</f>
        <v>-210.525</v>
      </c>
      <c r="E99" s="129">
        <f>SUM(E96:E98)</f>
        <v>-277.786</v>
      </c>
      <c r="F99" s="129">
        <f>SUM(F96:F98)</f>
        <v>-316.582</v>
      </c>
      <c r="G99" s="131">
        <f>SUM(G96:G98)</f>
        <v>-499.834</v>
      </c>
      <c r="H99" s="129">
        <f>SUM(H96:H98)</f>
        <v>-85.858</v>
      </c>
      <c r="I99" s="129">
        <f>SUM(I96:I98)</f>
        <v>-136.557</v>
      </c>
      <c r="J99" s="135">
        <f>SUM(J96:J98)</f>
        <v>-550.533</v>
      </c>
      <c r="K99" s="157"/>
      <c r="L99" s="157"/>
      <c r="M99" s="157"/>
      <c r="N99" s="157"/>
      <c r="O99" s="157"/>
    </row>
    <row r="100">
      <c r="B100" t="s" s="80">
        <v>1352</v>
      </c>
      <c r="C100" s="129">
        <f>C94+C99</f>
        <v>28.460999999999984</v>
      </c>
      <c r="D100" s="129">
        <f>D94+D99</f>
        <v>5.11699999999999</v>
      </c>
      <c r="E100" s="129">
        <f>E94+E99</f>
        <v>-16.745000000000005</v>
      </c>
      <c r="F100" s="129">
        <f>F94+F99</f>
        <v>12.234000000000037</v>
      </c>
      <c r="G100" s="131">
        <f>G94+G99</f>
        <v>-7.685999999999979</v>
      </c>
      <c r="H100" s="129">
        <f>H94+H99</f>
        <v>7.081999999999994</v>
      </c>
      <c r="I100" s="129">
        <f>I94+I99</f>
        <v>8.990000000000038</v>
      </c>
      <c r="J100" s="135">
        <f>J94+J99</f>
        <v>-5.778000000000134</v>
      </c>
      <c r="K100" s="157"/>
      <c r="L100" s="157"/>
      <c r="M100" s="157"/>
      <c r="N100" s="157"/>
      <c r="O100" s="157"/>
      <c r="P100" t="str" s="121">
        <f>IFERROR((G100/C100)^(1/(YEAR($G$10)-YEAR($C$10)))-1,"n.m.")</f>
        <v>n.m.</v>
      </c>
    </row>
    <row r="101">
      <c r="B101" t="s" s="139">
        <v>66</v>
      </c>
      <c r="C101" s="99">
        <f>C100/C33</f>
        <v>0.11293061716834239</v>
      </c>
      <c r="D101" s="99">
        <f>D100/D33</f>
        <v>0.016864078885790904</v>
      </c>
      <c r="E101" s="99">
        <f>E100/E33</f>
        <v>-0.045481953890615164</v>
      </c>
      <c r="F101" s="99">
        <f>F100/F33</f>
        <v>0.02707817345170359</v>
      </c>
      <c r="G101" s="102">
        <f>G100/G33</f>
        <v>-0.010509073407641541</v>
      </c>
      <c r="H101" s="99">
        <f>H100/H33</f>
        <v>0.05582355908689615</v>
      </c>
      <c r="I101" s="99">
        <f>I100/I33</f>
        <v>0.04063680908384127</v>
      </c>
      <c r="J101" s="136">
        <f>J100/J33</f>
        <v>-0.0069974277368445624</v>
      </c>
    </row>
    <row r="102">
      <c r="B102" t="s" s="5">
        <v>1353</v>
      </c>
      <c r="C102" s="74">
        <f>C63-C100</f>
        <v>-0.00000000000002842170943040401</v>
      </c>
      <c r="D102" s="74">
        <f>D63-D100</f>
        <v>-0.000000000000014210854715202004</v>
      </c>
      <c r="E102" s="74">
        <f>E63-E100</f>
        <v>-0.0010000000000331966</v>
      </c>
      <c r="F102" s="74">
        <f>F63-F100</f>
        <v>0</v>
      </c>
      <c r="G102" s="74">
        <f>G63-G100</f>
        <v>0.00000000000002842170943040401</v>
      </c>
      <c r="H102" s="74">
        <f>H63-H100</f>
        <v>0.000000000000014210854715202004</v>
      </c>
      <c r="I102" s="74">
        <f>I63-I100</f>
        <v>0</v>
      </c>
      <c r="J102" s="133">
        <f>J63-J100</f>
        <v>0.00000000000005684341886080802</v>
      </c>
    </row>
    <row r="103">
      <c r="B103" t="s" s="141">
        <v>538</v>
      </c>
      <c r="C103" s="75">
        <v>36.695</v>
      </c>
      <c r="D103" s="75">
        <v>66.525</v>
      </c>
      <c r="E103" s="75">
        <v>108.078</v>
      </c>
      <c r="F103" s="75">
        <v>110.961</v>
      </c>
      <c r="G103" s="103">
        <v>134.533</v>
      </c>
      <c r="H103" s="75">
        <v>27.562</v>
      </c>
      <c r="I103" s="75">
        <v>32.827</v>
      </c>
      <c r="J103" s="133">
        <f>G103+I103-H103</f>
        <v>139.79799999999997</v>
      </c>
    </row>
    <row r="104">
      <c r="B104" t="s" s="141">
        <v>71</v>
      </c>
      <c r="D104" s="75">
        <v>1.711</v>
      </c>
      <c r="E104" s="75">
        <v>2.052</v>
      </c>
      <c r="F104" s="75">
        <v>8.308</v>
      </c>
      <c r="G104" s="103">
        <v>35.773</v>
      </c>
      <c r="H104" s="75">
        <v>7.28</v>
      </c>
      <c r="I104" s="75">
        <v>6.051</v>
      </c>
      <c r="J104" s="133">
        <f>G104+I104-H104</f>
        <v>34.544000000000004</v>
      </c>
    </row>
    <row r="105">
      <c r="B105" t="s" s="141">
        <v>539</v>
      </c>
      <c r="C105" s="75">
        <v>1.66</v>
      </c>
      <c r="D105" s="75">
        <v>0.158</v>
      </c>
      <c r="G105" s="93"/>
      <c r="J105" s="133">
        <f>G105+I105-H105</f>
        <v>0</v>
      </c>
    </row>
    <row r="106">
      <c r="B106" t="s" s="141">
        <v>540</v>
      </c>
      <c r="C106" s="75">
        <v>2.367</v>
      </c>
      <c r="D106" s="75">
        <v>2.486</v>
      </c>
      <c r="E106" s="75">
        <v>2.592</v>
      </c>
      <c r="F106" s="75">
        <v>1.99</v>
      </c>
      <c r="G106" s="103">
        <v>0.029</v>
      </c>
      <c r="J106" s="133">
        <f>G106+I106-H106</f>
        <v>0.029</v>
      </c>
    </row>
    <row r="107">
      <c r="B107" t="s" s="20">
        <v>546</v>
      </c>
      <c r="C107" s="74">
        <f>C103+C58</f>
        <v>0</v>
      </c>
      <c r="D107" s="74">
        <f>D103+D58</f>
        <v>0.8340000000000032</v>
      </c>
      <c r="E107" s="74">
        <f>E103+E58</f>
        <v>3.6310000000000002</v>
      </c>
      <c r="F107" s="74">
        <f>F103+F58</f>
        <v>7.760000000000005</v>
      </c>
      <c r="G107" s="106">
        <f>G103+G58</f>
        <v>6.636999999999986</v>
      </c>
      <c r="H107" s="74">
        <f>H103+H58</f>
        <v>3.8500000000000014</v>
      </c>
      <c r="I107" s="74">
        <f>I103+I58</f>
        <v>4.251999999999999</v>
      </c>
      <c r="J107" s="133">
        <f>J103+J58</f>
        <v>7.038999999999959</v>
      </c>
    </row>
    <row r="108">
      <c r="B108" t="s" s="20">
        <v>1354</v>
      </c>
      <c r="D108" s="75">
        <v>0.4</v>
      </c>
      <c r="E108" s="75">
        <v>4.3</v>
      </c>
      <c r="F108" s="75">
        <v>5.6</v>
      </c>
      <c r="G108" s="103">
        <v>75.7</v>
      </c>
      <c r="H108" s="75">
        <v>1.5</v>
      </c>
      <c r="I108" s="75">
        <v>26.5</v>
      </c>
      <c r="J108" s="133">
        <f>G108+I108-H108</f>
        <v>100.7</v>
      </c>
    </row>
    <row r="109">
      <c r="B109" t="s" s="20">
        <v>544</v>
      </c>
      <c r="D109" s="75">
        <v>1.821</v>
      </c>
      <c r="E109" s="75">
        <v>13.172</v>
      </c>
      <c r="G109" s="93"/>
      <c r="J109" s="133">
        <f>G109+I109-H109</f>
        <v>0</v>
      </c>
    </row>
    <row r="110">
      <c r="J110" s="132"/>
    </row>
    <row r="111">
      <c r="B111" t="s" s="6">
        <v>1331</v>
      </c>
      <c r="C111" s="143"/>
      <c r="D111" s="6"/>
      <c r="E111" s="6"/>
      <c r="F111" s="6"/>
      <c r="G111" s="95"/>
      <c r="H111" s="6"/>
      <c r="I111" s="6"/>
      <c r="J111" s="153"/>
      <c r="K111" s="6"/>
      <c r="L111" s="6"/>
      <c r="M111" s="6"/>
      <c r="N111" s="6"/>
      <c r="O111" s="6"/>
      <c r="P111" s="6"/>
      <c r="Q111" s="6"/>
    </row>
    <row r="112">
      <c r="B112" t="s" s="71">
        <v>804</v>
      </c>
      <c r="F112" s="75">
        <v>708.264</v>
      </c>
      <c r="G112" s="103">
        <v>817.005</v>
      </c>
      <c r="J112" s="132"/>
      <c r="K112" s="74">
        <f>K33</f>
        <v>939.9802648728258</v>
      </c>
    </row>
    <row r="113">
      <c r="B113" t="s" s="71">
        <v>805</v>
      </c>
      <c r="G113" s="91">
        <f>G112/F112-1</f>
        <v>0.15353173392972108</v>
      </c>
      <c r="J113" s="132"/>
      <c r="K113" s="77">
        <f>K112/G112-1</f>
        <v>0.1505195988676029</v>
      </c>
    </row>
    <row r="114">
      <c r="B114" t="s">
        <v>1460</v>
      </c>
      <c r="E114" s="111">
        <v>0.214</v>
      </c>
      <c r="F114" s="111">
        <v>0.226</v>
      </c>
      <c r="G114" s="112">
        <v>0.154</v>
      </c>
      <c r="J114" s="132"/>
      <c r="K114" s="111">
        <v>0.153</v>
      </c>
      <c r="R114" t="s" s="5">
        <v>1461</v>
      </c>
    </row>
    <row r="115">
      <c r="B115" t="s" s="71">
        <v>807</v>
      </c>
      <c r="F115" s="74">
        <f>F33</f>
        <v>451.803</v>
      </c>
      <c r="G115" s="106">
        <f>G33-G40-G41</f>
        <v>536.868</v>
      </c>
      <c r="J115" s="132"/>
    </row>
    <row r="116">
      <c r="B116" t="s" s="71">
        <v>808</v>
      </c>
      <c r="G116" s="91">
        <f>G115/F115-1</f>
        <v>0.1882789622910872</v>
      </c>
      <c r="J116" s="132"/>
    </row>
    <row r="117">
      <c r="B117" t="s">
        <v>1462</v>
      </c>
      <c r="G117" s="103">
        <v>536</v>
      </c>
      <c r="J117" s="132"/>
    </row>
    <row r="118">
      <c r="B118" t="s" s="5">
        <v>1463</v>
      </c>
      <c r="C118" s="4"/>
      <c r="D118" s="4"/>
      <c r="E118" s="4"/>
      <c r="F118" s="4"/>
      <c r="G118" s="105">
        <f>G115-G117</f>
        <v>0.8680000000000518</v>
      </c>
      <c r="J118" s="132"/>
      <c r="K118" s="4"/>
    </row>
  </sheetData>
  <pageMargins left="0.7" right="0.7" top="0.75" bottom="0.75" header="0.3" footer="0.3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03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1" sqref="A1"/>
    </sheetView>
  </sheetViews>
  <cols>
    <col min="1" max="1" width="2.21875" customWidth="1"/>
    <col min="2" max="2" width="54.21875" customWidth="1"/>
    <col min="3" max="17" width="12.50390625" customWidth="1"/>
  </cols>
  <sheetData>
    <row r="2">
      <c r="B2" t="s" s="73">
        <v>1323</v>
      </c>
    </row>
    <row r="3">
      <c r="B3" t="s" s="5">
        <v>1324</v>
      </c>
    </row>
    <row r="5">
      <c r="C5" t="s" s="27">
        <v>219</v>
      </c>
      <c r="D5" s="27"/>
      <c r="E5" s="27"/>
      <c r="F5" s="27"/>
      <c r="G5" s="27"/>
      <c r="H5" t="s" s="101">
        <v>623</v>
      </c>
      <c r="I5" s="101"/>
      <c r="J5" t="s" s="155">
        <v>624</v>
      </c>
      <c r="K5" t="s" s="101">
        <v>647</v>
      </c>
      <c r="L5" s="101"/>
      <c r="M5" s="101"/>
      <c r="N5" s="101"/>
      <c r="O5" s="101"/>
      <c r="P5" s="101"/>
      <c r="Q5" s="101"/>
    </row>
    <row r="6">
      <c r="C6" s="87">
        <f>DATE(2021,12,31)</f>
        <v>44561</v>
      </c>
      <c r="D6" s="87">
        <f>EDATE(C6,12)</f>
        <v>44926</v>
      </c>
      <c r="E6" s="87">
        <f>EDATE(D6,12)</f>
        <v>45291</v>
      </c>
      <c r="F6" s="87">
        <f>EDATE(E6,12)</f>
        <v>45657</v>
      </c>
      <c r="G6" s="89">
        <f>EDATE(F6,12)</f>
        <v>46022</v>
      </c>
      <c r="H6" s="100">
        <f>DATE(2025,3,31)</f>
        <v>45747</v>
      </c>
      <c r="I6" s="100">
        <f>EDATE(H6,12)</f>
        <v>46112</v>
      </c>
      <c r="J6" s="149">
        <f>I6</f>
        <v>46112</v>
      </c>
      <c r="K6" s="88">
        <f>EDATE(G6,12)</f>
        <v>46387</v>
      </c>
      <c r="L6" s="88">
        <f>EDATE(K6,12)</f>
        <v>46752</v>
      </c>
      <c r="M6" s="88">
        <f>EDATE(L6,12)</f>
        <v>47118</v>
      </c>
      <c r="N6" s="88">
        <f>EDATE(M6,12)</f>
        <v>47483</v>
      </c>
      <c r="O6" s="88">
        <f>EDATE(N6,12)</f>
        <v>47848</v>
      </c>
      <c r="P6" s="26"/>
      <c r="Q6" s="26"/>
    </row>
    <row r="7">
      <c r="J7" s="132"/>
    </row>
    <row r="8">
      <c r="B8" t="s" s="6">
        <v>1332</v>
      </c>
      <c r="C8" s="143"/>
      <c r="D8" s="6"/>
      <c r="E8" s="6"/>
      <c r="F8" s="6"/>
      <c r="G8" s="95"/>
      <c r="H8" s="6"/>
      <c r="I8" s="6"/>
      <c r="J8" s="153"/>
      <c r="K8" s="6"/>
      <c r="L8" s="6"/>
      <c r="M8" s="6"/>
      <c r="N8" s="6"/>
      <c r="O8" s="6"/>
      <c r="P8" s="6"/>
      <c r="Q8" s="6"/>
    </row>
    <row r="9">
      <c r="B9" t="s" s="71">
        <v>95</v>
      </c>
      <c r="C9" s="75">
        <v>254.597</v>
      </c>
      <c r="D9" s="75">
        <v>250.724</v>
      </c>
      <c r="E9" s="75">
        <v>221.765</v>
      </c>
      <c r="F9" s="75">
        <v>177.35</v>
      </c>
      <c r="G9" s="103">
        <v>91.245</v>
      </c>
      <c r="I9" s="75">
        <v>81.507</v>
      </c>
      <c r="J9" s="133">
        <f>I9</f>
        <v>81.507</v>
      </c>
      <c r="K9" s="79">
        <f>CFS!K60</f>
        <v>343.93224728745446</v>
      </c>
      <c r="L9" s="79">
        <f>CFS!L60</f>
        <v>687.9347649220754</v>
      </c>
      <c r="M9" s="79">
        <f>CFS!M60</f>
        <v>1138.6289250817802</v>
      </c>
      <c r="N9" s="79">
        <f>CFS!N60</f>
        <v>1714.4283686946187</v>
      </c>
      <c r="O9" s="79">
        <f>CFS!O60</f>
        <v>2389.533512383416</v>
      </c>
    </row>
    <row r="10">
      <c r="B10" t="s" s="71">
        <v>96</v>
      </c>
      <c r="D10" s="75">
        <v>4.89</v>
      </c>
      <c r="E10" s="75">
        <v>74.457</v>
      </c>
      <c r="F10" s="75">
        <v>78.139</v>
      </c>
      <c r="G10" s="103">
        <v>0</v>
      </c>
      <c r="J10" s="133">
        <f>I10</f>
        <v>0</v>
      </c>
    </row>
    <row r="11">
      <c r="B11" t="s" s="71">
        <v>97</v>
      </c>
      <c r="C11" s="75">
        <v>50.19</v>
      </c>
      <c r="D11" s="75">
        <v>72.575</v>
      </c>
      <c r="E11" s="75">
        <v>92.091</v>
      </c>
      <c r="F11" s="75">
        <v>106.151</v>
      </c>
      <c r="G11" s="103">
        <v>167.348</v>
      </c>
      <c r="I11" s="75">
        <v>169.63</v>
      </c>
      <c r="J11" s="133">
        <f>I11</f>
        <v>169.63</v>
      </c>
      <c r="K11" s="74">
        <f>G11*K62</f>
        <v>177.93212363420434</v>
      </c>
      <c r="L11" s="74">
        <f>K11*L62</f>
        <v>188.5408632314814</v>
      </c>
      <c r="M11" s="74">
        <f>L11*M62</f>
        <v>201.47466454835046</v>
      </c>
      <c r="N11" s="74">
        <f>M11*N62</f>
        <v>218.8589512763925</v>
      </c>
      <c r="O11" s="74">
        <f>N11*O62</f>
        <v>237.33469761107798</v>
      </c>
    </row>
    <row r="12">
      <c r="B12" t="s">
        <v>1355</v>
      </c>
      <c r="C12" s="74">
        <f>C47-C48</f>
        <v>16.551</v>
      </c>
      <c r="D12" s="74">
        <f>D47-D48</f>
        <v>28.157</v>
      </c>
      <c r="E12" s="74">
        <f>E47-E48</f>
        <v>27.683</v>
      </c>
      <c r="F12" s="74">
        <f>F47-F48</f>
        <v>17.959</v>
      </c>
      <c r="G12" s="74">
        <f>G47-G48</f>
        <v>32.384</v>
      </c>
      <c r="I12" s="74">
        <f>I47-I48</f>
        <v>36.657</v>
      </c>
      <c r="J12" s="133">
        <f>J47-J48</f>
        <v>36.657</v>
      </c>
      <c r="K12" s="74">
        <f>G12*K62</f>
        <v>34.432164661484286</v>
      </c>
      <c r="L12" s="74">
        <f>K12*L62</f>
        <v>36.48509282984136</v>
      </c>
      <c r="M12" s="74">
        <f>L12*M62</f>
        <v>38.987950478845164</v>
      </c>
      <c r="N12" s="74">
        <f>M12*N62</f>
        <v>42.35203455156138</v>
      </c>
      <c r="O12" s="74">
        <f>N12*O62</f>
        <v>45.927330158933174</v>
      </c>
    </row>
    <row r="13">
      <c r="B13" t="s">
        <v>1356</v>
      </c>
      <c r="C13" s="74">
        <f>C49+C48</f>
        <v>5.687</v>
      </c>
      <c r="D13" s="74">
        <f>D49+D48</f>
        <v>6.563</v>
      </c>
      <c r="E13" s="74">
        <f>E49+E48</f>
        <v>6.439</v>
      </c>
      <c r="F13" s="74">
        <f>F49+F48</f>
        <v>12.059999999999999</v>
      </c>
      <c r="G13" s="74">
        <f>G49+G48</f>
        <v>17.61</v>
      </c>
      <c r="I13" s="74">
        <f>I49+I48</f>
        <v>17.494</v>
      </c>
      <c r="J13" s="133">
        <f>J49+J48</f>
        <v>17.494</v>
      </c>
      <c r="K13" s="74">
        <f>K67</f>
        <v>19.518256880733944</v>
      </c>
      <c r="L13" s="74">
        <f>L67</f>
        <v>21.61780439204616</v>
      </c>
      <c r="M13" s="74">
        <f>M67</f>
        <v>23.823161534903306</v>
      </c>
      <c r="N13" s="74">
        <f>N67</f>
        <v>26.052236424771152</v>
      </c>
      <c r="O13" s="74">
        <f>O67</f>
        <v>28.40006251172767</v>
      </c>
    </row>
    <row r="14">
      <c r="B14" t="s" s="71">
        <v>561</v>
      </c>
      <c r="C14" s="75">
        <v>10.738</v>
      </c>
      <c r="D14" s="75">
        <v>15.064</v>
      </c>
      <c r="E14" s="75">
        <v>15.349</v>
      </c>
      <c r="F14" s="75">
        <v>14.797</v>
      </c>
      <c r="G14" s="103">
        <v>26.607</v>
      </c>
      <c r="I14" s="75">
        <v>30.454</v>
      </c>
      <c r="J14" s="133">
        <f>I14</f>
        <v>30.454</v>
      </c>
      <c r="K14" s="74">
        <f>K75</f>
        <v>33.96892543448397</v>
      </c>
      <c r="L14" s="74">
        <f>L75</f>
        <v>39.23241256490289</v>
      </c>
      <c r="M14" s="74">
        <f>M75</f>
        <v>44.72307644682546</v>
      </c>
      <c r="N14" s="74">
        <f>N75</f>
        <v>50.32663975714892</v>
      </c>
      <c r="O14" s="74">
        <f>O75</f>
        <v>55.93746801470195</v>
      </c>
    </row>
    <row r="15">
      <c r="B15" t="s" s="71">
        <v>562</v>
      </c>
      <c r="D15" s="75">
        <v>24.114</v>
      </c>
      <c r="E15" s="75">
        <v>22.554</v>
      </c>
      <c r="F15" s="75">
        <v>24.797</v>
      </c>
      <c r="G15" s="103">
        <v>34.3</v>
      </c>
      <c r="I15" s="75">
        <v>51.639</v>
      </c>
      <c r="J15" s="133">
        <f>I15</f>
        <v>51.639</v>
      </c>
      <c r="K15" s="74">
        <f>G15</f>
        <v>34.3</v>
      </c>
      <c r="L15" s="74">
        <f>K15</f>
        <v>34.3</v>
      </c>
      <c r="M15" s="74">
        <f>L15</f>
        <v>34.3</v>
      </c>
      <c r="N15" s="74">
        <f>M15</f>
        <v>34.3</v>
      </c>
      <c r="O15" s="74">
        <f>N15</f>
        <v>34.3</v>
      </c>
    </row>
    <row r="16">
      <c r="B16" t="s" s="71">
        <v>563</v>
      </c>
      <c r="C16" s="75">
        <v>0.922</v>
      </c>
      <c r="D16" s="75">
        <v>0.728</v>
      </c>
      <c r="E16" s="75">
        <v>0.533</v>
      </c>
      <c r="F16" s="75">
        <v>0.339</v>
      </c>
      <c r="G16" s="103">
        <v>3.467</v>
      </c>
      <c r="I16" s="75">
        <v>3.268</v>
      </c>
      <c r="J16" s="133">
        <f>I16</f>
        <v>3.268</v>
      </c>
      <c r="K16" s="74">
        <f>G16</f>
        <v>3.467</v>
      </c>
      <c r="L16" s="74">
        <f>K16</f>
        <v>3.467</v>
      </c>
      <c r="M16" s="74">
        <f>L16</f>
        <v>3.467</v>
      </c>
      <c r="N16" s="74">
        <f>M16</f>
        <v>3.467</v>
      </c>
      <c r="O16" s="74">
        <f>N16</f>
        <v>3.467</v>
      </c>
    </row>
    <row r="17">
      <c r="B17" t="s" s="71">
        <v>104</v>
      </c>
      <c r="F17" s="75">
        <v>602.5</v>
      </c>
      <c r="G17" s="103">
        <v>695.998</v>
      </c>
      <c r="I17" s="75">
        <v>702.3</v>
      </c>
      <c r="J17" s="133">
        <f>I17</f>
        <v>702.3</v>
      </c>
      <c r="K17" s="74">
        <f>K98</f>
        <v>665.461415153811</v>
      </c>
      <c r="L17" s="74">
        <f>L98</f>
        <v>616.1001623172642</v>
      </c>
      <c r="M17" s="74">
        <f>M98</f>
        <v>544.0274444705084</v>
      </c>
      <c r="N17" s="74">
        <f>N98</f>
        <v>445.2435346865192</v>
      </c>
      <c r="O17" s="74">
        <f>O98</f>
        <v>316.1789931113235</v>
      </c>
    </row>
    <row r="18">
      <c r="B18" t="s" s="71">
        <v>105</v>
      </c>
      <c r="C18" s="75">
        <v>5.67</v>
      </c>
      <c r="D18" s="75">
        <v>5.88</v>
      </c>
      <c r="E18" s="75">
        <v>4.907</v>
      </c>
      <c r="F18" s="75">
        <v>3.34</v>
      </c>
      <c r="G18" s="103">
        <v>5.336</v>
      </c>
      <c r="I18" s="75">
        <v>4.816</v>
      </c>
      <c r="J18" s="133">
        <f>I18</f>
        <v>4.816</v>
      </c>
      <c r="K18" s="74">
        <f>G18</f>
        <v>5.336</v>
      </c>
      <c r="L18" s="74">
        <f>K18</f>
        <v>5.336</v>
      </c>
      <c r="M18" s="74">
        <f>L18</f>
        <v>5.336</v>
      </c>
      <c r="N18" s="74">
        <f>M18</f>
        <v>5.336</v>
      </c>
      <c r="O18" s="74">
        <f>N18</f>
        <v>5.336</v>
      </c>
    </row>
    <row r="19">
      <c r="B19" t="s" s="71">
        <v>106</v>
      </c>
      <c r="D19" s="75">
        <v>29.456</v>
      </c>
      <c r="E19" s="75">
        <v>26.132</v>
      </c>
      <c r="F19" s="75">
        <v>30.868</v>
      </c>
      <c r="G19" s="103">
        <v>687.578</v>
      </c>
      <c r="I19" s="75">
        <v>660.65</v>
      </c>
      <c r="J19" s="133">
        <f>I19</f>
        <v>660.65</v>
      </c>
      <c r="K19" s="74">
        <f>K79</f>
        <v>581.4979999999999</v>
      </c>
      <c r="L19" s="74">
        <f>L79</f>
        <v>475.49799999999993</v>
      </c>
      <c r="M19" s="74">
        <f>M79</f>
        <v>369.5279999999999</v>
      </c>
      <c r="N19" s="74">
        <f>N79</f>
        <v>265.1579999999999</v>
      </c>
      <c r="O19" s="74">
        <f>O79</f>
        <v>160.7879999999999</v>
      </c>
    </row>
    <row r="20">
      <c r="B20" t="s" s="71">
        <v>107</v>
      </c>
      <c r="D20" s="75">
        <v>43.791</v>
      </c>
      <c r="E20" s="75">
        <v>45.338</v>
      </c>
      <c r="F20" s="75">
        <v>70.971</v>
      </c>
      <c r="G20" s="103">
        <v>1270.056</v>
      </c>
      <c r="I20" s="75">
        <v>1268.44</v>
      </c>
      <c r="J20" s="133">
        <f>I20</f>
        <v>1268.44</v>
      </c>
      <c r="K20" s="74">
        <f>G20</f>
        <v>1270.056</v>
      </c>
      <c r="L20" s="74">
        <f>K20</f>
        <v>1270.056</v>
      </c>
      <c r="M20" s="74">
        <f>L20</f>
        <v>1270.056</v>
      </c>
      <c r="N20" s="74">
        <f>M20</f>
        <v>1270.056</v>
      </c>
      <c r="O20" s="74">
        <f>N20</f>
        <v>1270.056</v>
      </c>
    </row>
    <row r="21">
      <c r="B21" t="s" s="71">
        <v>108</v>
      </c>
      <c r="D21" s="75">
        <v>0</v>
      </c>
      <c r="E21" s="75">
        <v>21.495</v>
      </c>
      <c r="F21" s="75">
        <v>30.301</v>
      </c>
      <c r="G21" s="103">
        <v>0</v>
      </c>
      <c r="J21" s="133">
        <f>I21</f>
        <v>0</v>
      </c>
    </row>
    <row r="22">
      <c r="B22" t="s" s="138">
        <v>109</v>
      </c>
      <c r="C22" s="129">
        <f>SUM(C9:C21)</f>
        <v>344.3550000000001</v>
      </c>
      <c r="D22" s="129">
        <f>SUM(D9:D21)</f>
        <v>481.94199999999995</v>
      </c>
      <c r="E22" s="129">
        <f>SUM(E9:E21)</f>
        <v>558.7429999999999</v>
      </c>
      <c r="F22" s="129">
        <f>SUM(F9:F21)</f>
        <v>1169.572</v>
      </c>
      <c r="G22" s="131">
        <f>SUM(G9:G21)</f>
        <v>3031.929</v>
      </c>
      <c r="H22" s="127"/>
      <c r="I22" s="129">
        <f>SUM(I9:I21)</f>
        <v>3026.855</v>
      </c>
      <c r="J22" s="135">
        <f>SUM(J9:J21)</f>
        <v>3026.855</v>
      </c>
      <c r="K22" s="129">
        <f>SUM(K9:K21)</f>
        <v>3169.902133052172</v>
      </c>
      <c r="L22" s="129">
        <f>SUM(L9:L21)</f>
        <v>3378.568100257611</v>
      </c>
      <c r="M22" s="129">
        <f>SUM(M9:M21)</f>
        <v>3674.352222561213</v>
      </c>
      <c r="N22" s="129">
        <f>SUM(N9:N21)</f>
        <v>4075.5787653910115</v>
      </c>
      <c r="O22" s="129">
        <f>SUM(O9:O21)</f>
        <v>4547.259063791181</v>
      </c>
    </row>
    <row r="23">
      <c r="J23" s="132"/>
    </row>
    <row r="24">
      <c r="B24" t="s" s="6">
        <v>1333</v>
      </c>
      <c r="C24" s="143"/>
      <c r="D24" s="6"/>
      <c r="E24" s="6"/>
      <c r="F24" s="6"/>
      <c r="G24" s="95"/>
      <c r="H24" s="6"/>
      <c r="I24" s="6"/>
      <c r="J24" s="153"/>
      <c r="K24" s="6"/>
      <c r="L24" s="6"/>
      <c r="M24" s="6"/>
      <c r="N24" s="6"/>
      <c r="O24" s="6"/>
      <c r="P24" s="6"/>
      <c r="Q24" s="6"/>
    </row>
    <row r="25">
      <c r="B25" t="s" s="71">
        <v>110</v>
      </c>
      <c r="C25" s="75">
        <v>1.416</v>
      </c>
      <c r="D25" s="75">
        <v>3.092</v>
      </c>
      <c r="E25" s="75">
        <v>3.062</v>
      </c>
      <c r="F25" s="75">
        <v>2.934</v>
      </c>
      <c r="G25" s="103">
        <v>4.096</v>
      </c>
      <c r="I25" s="75">
        <v>1.63</v>
      </c>
      <c r="J25" s="133">
        <f>I25</f>
        <v>1.63</v>
      </c>
      <c r="K25" s="74">
        <f>G25*K62</f>
        <v>4.355056399871531</v>
      </c>
      <c r="L25" s="74">
        <f>K25*L62</f>
        <v>4.614715298636062</v>
      </c>
      <c r="M25" s="74">
        <f>L25*M62</f>
        <v>4.931282274004131</v>
      </c>
      <c r="N25" s="74">
        <f>M25*N62</f>
        <v>5.3567790737152725</v>
      </c>
      <c r="O25" s="74">
        <f>N25*O62</f>
        <v>5.808990375833444</v>
      </c>
    </row>
    <row r="26">
      <c r="B26" t="s" s="71">
        <v>564</v>
      </c>
      <c r="C26" s="75">
        <v>27.032</v>
      </c>
      <c r="D26" s="75">
        <v>42.119</v>
      </c>
      <c r="E26" s="75">
        <v>49.535</v>
      </c>
      <c r="F26" s="75">
        <v>55.654</v>
      </c>
      <c r="G26" s="103">
        <v>112.249</v>
      </c>
      <c r="I26" s="75">
        <v>78.605</v>
      </c>
      <c r="J26" s="133">
        <f>I26</f>
        <v>78.605</v>
      </c>
      <c r="K26" s="74">
        <f>G26*K62</f>
        <v>119.3483217356395</v>
      </c>
      <c r="L26" s="74">
        <f>K26*L62</f>
        <v>126.46415467690413</v>
      </c>
      <c r="M26" s="74">
        <f>L26*M62</f>
        <v>135.13952733757074</v>
      </c>
      <c r="N26" s="74">
        <f>M26*N62</f>
        <v>146.8000718372719</v>
      </c>
      <c r="O26" s="74">
        <f>N26*O62</f>
        <v>159.19271501389852</v>
      </c>
    </row>
    <row r="27">
      <c r="B27" t="s" s="71">
        <v>112</v>
      </c>
      <c r="F27" s="75">
        <v>7.329</v>
      </c>
      <c r="G27" s="103">
        <v>21.86</v>
      </c>
      <c r="I27" s="75">
        <v>28.027</v>
      </c>
      <c r="J27" s="133">
        <f>I27</f>
        <v>28.027</v>
      </c>
      <c r="K27" s="74">
        <f>G27*K62</f>
        <v>23.242561743454996</v>
      </c>
      <c r="L27" s="74">
        <f>K27*L62</f>
        <v>24.628338971724688</v>
      </c>
      <c r="M27" s="74">
        <f>L27*M62</f>
        <v>26.317829714289626</v>
      </c>
      <c r="N27" s="74">
        <f>M27*N62</f>
        <v>28.588669568216766</v>
      </c>
      <c r="O27" s="74">
        <f>N27*O62</f>
        <v>31.002082425712672</v>
      </c>
    </row>
    <row r="28">
      <c r="B28" t="s" s="71">
        <v>565</v>
      </c>
      <c r="C28" s="75">
        <v>2.75</v>
      </c>
      <c r="D28" s="75">
        <v>2.75</v>
      </c>
      <c r="E28" s="75">
        <v>2.75</v>
      </c>
      <c r="F28" s="75">
        <v>2.75</v>
      </c>
      <c r="G28" s="103">
        <v>8</v>
      </c>
      <c r="I28" s="75">
        <v>8</v>
      </c>
      <c r="J28" s="133">
        <f>I28</f>
        <v>8</v>
      </c>
      <c r="K28" s="79">
        <f>MIN(K83,Assumptions!E174)</f>
        <v>8</v>
      </c>
      <c r="L28" s="79">
        <f>MIN(L83,Assumptions!F174)</f>
        <v>8</v>
      </c>
      <c r="M28" s="79">
        <f>MIN(M83,Assumptions!G174)</f>
        <v>8</v>
      </c>
      <c r="N28" s="79">
        <f>MIN(N83,Assumptions!H174)</f>
        <v>52</v>
      </c>
      <c r="O28" s="79">
        <f>MIN(O83,Assumptions!I174)</f>
        <v>8</v>
      </c>
    </row>
    <row r="29">
      <c r="B29" t="s" s="71">
        <v>566</v>
      </c>
      <c r="D29" s="75">
        <v>5.851</v>
      </c>
      <c r="E29" s="75">
        <v>6.551</v>
      </c>
      <c r="F29" s="75">
        <v>8.35</v>
      </c>
      <c r="G29" s="103">
        <v>15.138</v>
      </c>
      <c r="I29" s="75">
        <v>14.21</v>
      </c>
      <c r="J29" s="133">
        <f>I29</f>
        <v>14.21</v>
      </c>
      <c r="K29" s="74">
        <f>G29</f>
        <v>15.138</v>
      </c>
      <c r="L29" s="74">
        <f>K29</f>
        <v>15.138</v>
      </c>
      <c r="M29" s="74">
        <f>L29</f>
        <v>15.138</v>
      </c>
      <c r="N29" s="74">
        <f>M29</f>
        <v>15.138</v>
      </c>
      <c r="O29" s="74">
        <f>N29</f>
        <v>15.138</v>
      </c>
    </row>
    <row r="30">
      <c r="B30" t="s" s="71">
        <v>567</v>
      </c>
      <c r="D30" s="75">
        <v>12.2</v>
      </c>
      <c r="E30" s="75">
        <v>18.894</v>
      </c>
      <c r="F30" s="75">
        <v>0.035</v>
      </c>
      <c r="G30" s="103">
        <v>0</v>
      </c>
      <c r="J30" s="133">
        <f>I30</f>
        <v>0</v>
      </c>
    </row>
    <row r="31">
      <c r="B31" t="s" s="138">
        <v>116</v>
      </c>
      <c r="C31" s="129">
        <f>SUM(C25:C30)</f>
        <v>31.198</v>
      </c>
      <c r="D31" s="129">
        <f>SUM(D25:D30)</f>
        <v>66.012</v>
      </c>
      <c r="E31" s="129">
        <f>SUM(E25:E30)</f>
        <v>80.792</v>
      </c>
      <c r="F31" s="129">
        <f>SUM(F25:F30)</f>
        <v>77.05199999999999</v>
      </c>
      <c r="G31" s="131">
        <f>SUM(G25:G30)</f>
        <v>161.343</v>
      </c>
      <c r="H31" s="127"/>
      <c r="I31" s="129">
        <f>SUM(I25:I30)</f>
        <v>130.472</v>
      </c>
      <c r="J31" s="135">
        <f>SUM(J25:J30)</f>
        <v>130.472</v>
      </c>
      <c r="K31" s="162">
        <f>SUM(K25:K30)</f>
        <v>170.08393987896602</v>
      </c>
      <c r="L31" s="162">
        <f>SUM(L25:L30)</f>
        <v>178.84520894726487</v>
      </c>
      <c r="M31" s="162">
        <f>SUM(M25:M30)</f>
        <v>189.5266393258645</v>
      </c>
      <c r="N31" s="162">
        <f>SUM(N25:N30)</f>
        <v>247.88352047920395</v>
      </c>
      <c r="O31" s="162">
        <f>SUM(O25:O30)</f>
        <v>219.14178781544464</v>
      </c>
    </row>
    <row r="32">
      <c r="B32" t="s" s="71">
        <v>568</v>
      </c>
      <c r="C32" s="75">
        <v>51.157</v>
      </c>
      <c r="D32" s="75">
        <v>48.492</v>
      </c>
      <c r="E32" s="75">
        <v>45.828</v>
      </c>
      <c r="F32" s="75">
        <v>43.164</v>
      </c>
      <c r="G32" s="103">
        <v>814.643</v>
      </c>
      <c r="I32" s="75">
        <v>798.399</v>
      </c>
      <c r="J32" s="133">
        <f>I32</f>
        <v>798.399</v>
      </c>
      <c r="K32" s="74">
        <f>K83-K28-K86</f>
        <v>810.443</v>
      </c>
      <c r="L32" s="74">
        <f>L83-L28-L86</f>
        <v>806.243</v>
      </c>
      <c r="M32" s="74">
        <f>M83-M28-M86</f>
        <v>802.043</v>
      </c>
      <c r="N32" s="74">
        <f>N83-N28-N86</f>
        <v>753.8430000000001</v>
      </c>
      <c r="O32" s="74">
        <f>O83-O28-O86</f>
        <v>749.643</v>
      </c>
    </row>
    <row r="33">
      <c r="B33" t="s" s="71">
        <v>118</v>
      </c>
      <c r="D33" s="75">
        <v>19.505</v>
      </c>
      <c r="E33" s="75">
        <v>16.948</v>
      </c>
      <c r="F33" s="75">
        <v>17.655</v>
      </c>
      <c r="G33" s="103">
        <v>22.555</v>
      </c>
      <c r="I33" s="75">
        <v>40.228</v>
      </c>
      <c r="J33" s="133">
        <f>I33</f>
        <v>40.228</v>
      </c>
      <c r="K33" s="74">
        <f>G33</f>
        <v>22.555</v>
      </c>
      <c r="L33" s="74">
        <f>K33</f>
        <v>22.555</v>
      </c>
      <c r="M33" s="74">
        <f>L33</f>
        <v>22.555</v>
      </c>
      <c r="N33" s="74">
        <f>M33</f>
        <v>22.555</v>
      </c>
      <c r="O33" s="74">
        <f>N33</f>
        <v>22.555</v>
      </c>
    </row>
    <row r="34">
      <c r="B34" t="s" s="71">
        <v>119</v>
      </c>
      <c r="C34" s="75">
        <v>0.132</v>
      </c>
      <c r="D34" s="75">
        <v>9.547</v>
      </c>
      <c r="E34" s="75">
        <v>5.518</v>
      </c>
      <c r="F34" s="75">
        <v>1.47</v>
      </c>
      <c r="G34" s="103">
        <v>2.296</v>
      </c>
      <c r="I34" s="75">
        <v>3.194</v>
      </c>
      <c r="J34" s="133">
        <f>I34</f>
        <v>3.194</v>
      </c>
      <c r="K34" s="74">
        <f>G34</f>
        <v>2.296</v>
      </c>
      <c r="L34" s="74">
        <f>K34</f>
        <v>2.296</v>
      </c>
      <c r="M34" s="74">
        <f>L34</f>
        <v>2.296</v>
      </c>
      <c r="N34" s="74">
        <f>M34</f>
        <v>2.296</v>
      </c>
      <c r="O34" s="74">
        <f>N34</f>
        <v>2.296</v>
      </c>
    </row>
    <row r="35">
      <c r="B35" t="s" s="138">
        <v>120</v>
      </c>
      <c r="C35" s="129">
        <f>C31+SUM(C32:C34)</f>
        <v>82.487</v>
      </c>
      <c r="D35" s="129">
        <f>D31+SUM(D32:D34)</f>
        <v>143.55599999999998</v>
      </c>
      <c r="E35" s="129">
        <f>E31+SUM(E32:E34)</f>
        <v>149.086</v>
      </c>
      <c r="F35" s="129">
        <f>F31+SUM(F32:F34)</f>
        <v>139.341</v>
      </c>
      <c r="G35" s="131">
        <f>G31+SUM(G32:G34)</f>
        <v>1000.837</v>
      </c>
      <c r="H35" s="127"/>
      <c r="I35" s="129">
        <f>I31+SUM(I32:I34)</f>
        <v>972.2929999999999</v>
      </c>
      <c r="J35" s="135">
        <f>J31+SUM(J32:J34)</f>
        <v>972.2929999999999</v>
      </c>
      <c r="K35" s="129">
        <f>K31+SUM(K32:K34)</f>
        <v>1005.377939878966</v>
      </c>
      <c r="L35" s="129">
        <f>L31+SUM(L32:L34)</f>
        <v>1009.9392089472649</v>
      </c>
      <c r="M35" s="129">
        <f>M31+SUM(M32:M34)</f>
        <v>1016.4206393258645</v>
      </c>
      <c r="N35" s="129">
        <f>N31+SUM(N32:N34)</f>
        <v>1026.577520479204</v>
      </c>
      <c r="O35" s="129">
        <f>O31+SUM(O32:O34)</f>
        <v>993.6357878154447</v>
      </c>
    </row>
    <row r="36">
      <c r="B36" t="s" s="71">
        <v>569</v>
      </c>
      <c r="C36" s="74">
        <f>C40-C37-C38-C39</f>
        <v>0.23599999999996157</v>
      </c>
      <c r="D36" s="74">
        <f>D40-D37-D38-D39</f>
        <v>0.23900000000000432</v>
      </c>
      <c r="E36" s="74">
        <f>E40-E37-E38-E39</f>
        <v>0.24400000000005662</v>
      </c>
      <c r="F36" s="74">
        <f>F40-F37-F38-F39</f>
        <v>0.24799999999999045</v>
      </c>
      <c r="G36" s="106">
        <f>G40-G37-G38-G39</f>
        <v>0.29300000000000637</v>
      </c>
      <c r="I36" s="74">
        <f>I40-I37-I38-I39</f>
        <v>0.29799999999988813</v>
      </c>
      <c r="J36" s="133">
        <f>J40-J37-J38-J39</f>
        <v>0.29799999999988813</v>
      </c>
      <c r="K36" s="74">
        <f>G36</f>
        <v>0.29300000000000637</v>
      </c>
      <c r="L36" s="74">
        <f>K36</f>
        <v>0.29300000000000637</v>
      </c>
      <c r="M36" s="74">
        <f>L36</f>
        <v>0.29300000000000637</v>
      </c>
      <c r="N36" s="74">
        <f>M36</f>
        <v>0.29300000000000637</v>
      </c>
      <c r="O36" s="74">
        <f>N36</f>
        <v>0.29300000000000637</v>
      </c>
    </row>
    <row r="37">
      <c r="B37" t="s" s="71">
        <v>125</v>
      </c>
      <c r="C37" s="75">
        <v>388.591</v>
      </c>
      <c r="D37" s="75">
        <v>455.32</v>
      </c>
      <c r="E37" s="75">
        <v>532.507</v>
      </c>
      <c r="F37" s="75">
        <v>725.174</v>
      </c>
      <c r="G37" s="103">
        <v>1754.387</v>
      </c>
      <c r="I37" s="75">
        <v>1784.861</v>
      </c>
      <c r="J37" s="133">
        <f>I37</f>
        <v>1784.861</v>
      </c>
      <c r="K37" s="79">
        <f>G37+CFS!K11+CFS!K46</f>
        <v>1881.387</v>
      </c>
      <c r="L37" s="79">
        <f>K37+CFS!L11+CFS!L46</f>
        <v>2008.387</v>
      </c>
      <c r="M37" s="79">
        <f>L37+CFS!M11+CFS!M46</f>
        <v>2135.3869999999997</v>
      </c>
      <c r="N37" s="79">
        <f>M37+CFS!N11+CFS!N46</f>
        <v>2262.3869999999997</v>
      </c>
      <c r="O37" s="79">
        <f>N37+CFS!O11+CFS!O46</f>
        <v>2389.3869999999997</v>
      </c>
    </row>
    <row r="38">
      <c r="B38" t="s" s="71">
        <v>570</v>
      </c>
      <c r="C38" s="75">
        <v>-0.034</v>
      </c>
      <c r="D38" s="75">
        <v>0.609</v>
      </c>
      <c r="E38" s="75">
        <v>2.909</v>
      </c>
      <c r="F38" s="75">
        <v>-1.113</v>
      </c>
      <c r="G38" s="103">
        <v>7.089</v>
      </c>
      <c r="I38" s="75">
        <v>2.777</v>
      </c>
      <c r="J38" s="133">
        <f>I38</f>
        <v>2.777</v>
      </c>
      <c r="K38" s="74">
        <f>G38</f>
        <v>7.089</v>
      </c>
      <c r="L38" s="74">
        <f>K38</f>
        <v>7.089</v>
      </c>
      <c r="M38" s="74">
        <f>L38</f>
        <v>7.089</v>
      </c>
      <c r="N38" s="74">
        <f>M38</f>
        <v>7.089</v>
      </c>
      <c r="O38" s="74">
        <f>N38</f>
        <v>7.089</v>
      </c>
    </row>
    <row r="39">
      <c r="B39" t="s" s="71">
        <v>571</v>
      </c>
      <c r="C39" s="75">
        <v>-191.926</v>
      </c>
      <c r="D39" s="75">
        <v>-186.647</v>
      </c>
      <c r="E39" s="75">
        <v>-181.331</v>
      </c>
      <c r="F39" s="75">
        <v>283.946</v>
      </c>
      <c r="G39" s="103">
        <v>259.963</v>
      </c>
      <c r="I39" s="75">
        <v>261.564</v>
      </c>
      <c r="J39" s="133">
        <f>I39</f>
        <v>261.564</v>
      </c>
      <c r="K39" s="79">
        <f>G39+IS!K89</f>
        <v>266.39519317320935</v>
      </c>
      <c r="L39" s="79">
        <f>K39+IS!L89</f>
        <v>343.49989131025427</v>
      </c>
      <c r="M39" s="79">
        <f>L39+IS!M89</f>
        <v>505.802583235561</v>
      </c>
      <c r="N39" s="79">
        <f>M39+IS!N89</f>
        <v>769.872244926458</v>
      </c>
      <c r="O39" s="79">
        <f>N39+IS!O89</f>
        <v>1147.4942758117288</v>
      </c>
    </row>
    <row r="40">
      <c r="B40" t="s" s="138">
        <v>572</v>
      </c>
      <c r="C40" s="161">
        <v>196.867</v>
      </c>
      <c r="D40" s="161">
        <v>269.521</v>
      </c>
      <c r="E40" s="161">
        <v>354.329</v>
      </c>
      <c r="F40" s="161">
        <v>1008.255</v>
      </c>
      <c r="G40" s="159">
        <v>2021.732</v>
      </c>
      <c r="H40" s="127"/>
      <c r="I40" s="161">
        <v>2049.5</v>
      </c>
      <c r="J40" s="135">
        <f>I40</f>
        <v>2049.5</v>
      </c>
      <c r="K40" s="162">
        <f>SUM(K36:K39)</f>
        <v>2155.1641931732092</v>
      </c>
      <c r="L40" s="162">
        <f>SUM(L36:L39)</f>
        <v>2359.268891310254</v>
      </c>
      <c r="M40" s="162">
        <f>SUM(M36:M39)</f>
        <v>2648.571583235561</v>
      </c>
      <c r="N40" s="162">
        <f>SUM(N36:N39)</f>
        <v>3039.641244926458</v>
      </c>
      <c r="O40" s="162">
        <f>SUM(O36:O39)</f>
        <v>3544.263275811729</v>
      </c>
    </row>
    <row r="41">
      <c r="B41" t="s" s="71">
        <v>129</v>
      </c>
      <c r="C41" s="75">
        <v>65.001</v>
      </c>
      <c r="D41" s="75">
        <v>68.865</v>
      </c>
      <c r="E41" s="75">
        <v>55.328</v>
      </c>
      <c r="F41" s="75">
        <v>21.976</v>
      </c>
      <c r="G41" s="103">
        <v>9.36</v>
      </c>
      <c r="I41" s="75">
        <v>5.062</v>
      </c>
      <c r="J41" s="133">
        <f>I41</f>
        <v>5.062</v>
      </c>
      <c r="K41" s="79">
        <f>G41-IS!K88</f>
        <v>9.36</v>
      </c>
      <c r="L41" s="79">
        <f>K41-IS!L88</f>
        <v>9.36</v>
      </c>
      <c r="M41" s="79">
        <f>L41-IS!M88</f>
        <v>9.36</v>
      </c>
      <c r="N41" s="79">
        <f>M41-IS!N88</f>
        <v>9.36</v>
      </c>
      <c r="O41" s="79">
        <f>N41-IS!O88</f>
        <v>9.36</v>
      </c>
    </row>
    <row r="42">
      <c r="B42" t="s" s="138">
        <v>573</v>
      </c>
      <c r="C42" s="129">
        <f>C40+C41</f>
        <v>261.868</v>
      </c>
      <c r="D42" s="129">
        <f>D40+D41</f>
        <v>338.386</v>
      </c>
      <c r="E42" s="129">
        <f>E40+E41</f>
        <v>409.65700000000004</v>
      </c>
      <c r="F42" s="129">
        <f>F40+F41</f>
        <v>1030.231</v>
      </c>
      <c r="G42" s="131">
        <f>G40+G41</f>
        <v>2031.0919999999999</v>
      </c>
      <c r="H42" s="127"/>
      <c r="I42" s="129">
        <f>I40+I41</f>
        <v>2054.562</v>
      </c>
      <c r="J42" s="135">
        <f>J40+J41</f>
        <v>2054.562</v>
      </c>
      <c r="K42" s="129">
        <f>K40+K41</f>
        <v>2164.5241931732094</v>
      </c>
      <c r="L42" s="129">
        <f>L40+L41</f>
        <v>2368.628891310254</v>
      </c>
      <c r="M42" s="129">
        <f>M40+M41</f>
        <v>2657.931583235561</v>
      </c>
      <c r="N42" s="129">
        <f>N40+N41</f>
        <v>3049.001244926458</v>
      </c>
      <c r="O42" s="129">
        <f>O40+O41</f>
        <v>3553.623275811729</v>
      </c>
    </row>
    <row r="43">
      <c r="B43" t="s" s="138">
        <v>574</v>
      </c>
      <c r="C43" s="129">
        <f>C35+C42</f>
        <v>344.355</v>
      </c>
      <c r="D43" s="129">
        <f>D35+D42</f>
        <v>481.942</v>
      </c>
      <c r="E43" s="129">
        <f>E35+E42</f>
        <v>558.743</v>
      </c>
      <c r="F43" s="129">
        <f>F35+F42</f>
        <v>1169.5720000000001</v>
      </c>
      <c r="G43" s="131">
        <f>G35+G42</f>
        <v>3031.929</v>
      </c>
      <c r="H43" s="127"/>
      <c r="I43" s="129">
        <f>I35+I42</f>
        <v>3026.8549999999996</v>
      </c>
      <c r="J43" s="135">
        <f>J35+J42</f>
        <v>3026.8549999999996</v>
      </c>
      <c r="K43" s="129">
        <f>K35+K42</f>
        <v>3169.9021330521755</v>
      </c>
      <c r="L43" s="129">
        <f>L35+L42</f>
        <v>3378.568100257519</v>
      </c>
      <c r="M43" s="129">
        <f>M35+M42</f>
        <v>3674.3522225614256</v>
      </c>
      <c r="N43" s="129">
        <f>N35+N42</f>
        <v>4075.578765405662</v>
      </c>
      <c r="O43" s="129">
        <f>O35+O42</f>
        <v>4547.259063627173</v>
      </c>
    </row>
    <row r="44">
      <c r="B44" t="s" s="140">
        <v>575</v>
      </c>
      <c r="C44" s="98">
        <f>ROUND(C22-C43,3)</f>
        <v>0</v>
      </c>
      <c r="D44" s="98">
        <f>ROUND(D22-D43,3)</f>
        <v>0</v>
      </c>
      <c r="E44" s="98">
        <f>ROUND(E22-E43,3)</f>
        <v>0</v>
      </c>
      <c r="F44" s="98">
        <f>ROUND(F22-F43,3)</f>
        <v>0</v>
      </c>
      <c r="G44" s="105">
        <f>ROUND(G22-G43,3)</f>
        <v>0</v>
      </c>
      <c r="H44" s="4"/>
      <c r="I44" s="98">
        <f>ROUND(I22-I43,3)</f>
        <v>0</v>
      </c>
      <c r="J44" s="151">
        <f>ROUND(J22-J43,3)</f>
        <v>0</v>
      </c>
      <c r="K44" s="98">
        <f>ROUND(K22-K43,3)</f>
        <v>0</v>
      </c>
      <c r="L44" s="98">
        <f>ROUND(L22-L43,3)</f>
        <v>0</v>
      </c>
      <c r="M44" s="98">
        <f>ROUND(M22-M43,3)</f>
        <v>0</v>
      </c>
      <c r="N44" s="98">
        <f>ROUND(N22-N43,3)</f>
        <v>0</v>
      </c>
      <c r="O44" s="98">
        <f>ROUND(O22-O43,3)</f>
        <v>0</v>
      </c>
    </row>
    <row r="45">
      <c r="J45" s="132"/>
    </row>
    <row r="46">
      <c r="B46" t="s" s="6">
        <v>1334</v>
      </c>
      <c r="C46" s="143"/>
      <c r="D46" s="6"/>
      <c r="E46" s="6"/>
      <c r="F46" s="6"/>
      <c r="G46" s="95"/>
      <c r="H46" s="6"/>
      <c r="I46" s="6"/>
      <c r="J46" s="153"/>
      <c r="K46" s="6"/>
      <c r="L46" s="6"/>
      <c r="M46" s="6"/>
      <c r="N46" s="6"/>
      <c r="O46" s="6"/>
      <c r="P46" s="6"/>
      <c r="Q46" s="6"/>
    </row>
    <row r="47">
      <c r="B47" t="s">
        <v>1357</v>
      </c>
      <c r="C47" s="75">
        <v>16.551</v>
      </c>
      <c r="D47" s="75">
        <v>28.157</v>
      </c>
      <c r="E47" s="75">
        <v>27.683</v>
      </c>
      <c r="F47" s="75">
        <v>23.006</v>
      </c>
      <c r="G47" s="103">
        <v>36.977</v>
      </c>
      <c r="I47" s="75">
        <v>43.107</v>
      </c>
      <c r="J47" s="133">
        <f>I47</f>
        <v>43.107</v>
      </c>
    </row>
    <row r="48">
      <c r="B48" t="s" s="20">
        <v>1358</v>
      </c>
      <c r="F48" s="75">
        <v>5.047</v>
      </c>
      <c r="G48" s="103">
        <v>4.593</v>
      </c>
      <c r="I48" s="75">
        <v>6.45</v>
      </c>
      <c r="J48" s="133">
        <f>I48</f>
        <v>6.45</v>
      </c>
    </row>
    <row r="49">
      <c r="B49" t="s">
        <v>1359</v>
      </c>
      <c r="C49" s="75">
        <v>5.687</v>
      </c>
      <c r="D49" s="75">
        <v>6.563</v>
      </c>
      <c r="E49" s="75">
        <v>6.439</v>
      </c>
      <c r="F49" s="75">
        <v>7.013</v>
      </c>
      <c r="G49" s="103">
        <v>13.017</v>
      </c>
      <c r="I49" s="75">
        <v>11.044</v>
      </c>
      <c r="J49" s="133">
        <f>I49</f>
        <v>11.044</v>
      </c>
    </row>
    <row r="50">
      <c r="B50" t="s">
        <v>1360</v>
      </c>
      <c r="C50" s="74">
        <f>C28+C32</f>
        <v>53.907</v>
      </c>
      <c r="D50" s="74">
        <f>D28+D32</f>
        <v>51.242</v>
      </c>
      <c r="E50" s="74">
        <f>E28+E32</f>
        <v>48.578</v>
      </c>
      <c r="F50" s="74">
        <f>F28+F32</f>
        <v>45.914</v>
      </c>
      <c r="G50" s="106">
        <f>G28+G32</f>
        <v>822.643</v>
      </c>
      <c r="I50" s="74">
        <f>I28+I32</f>
        <v>806.399</v>
      </c>
      <c r="J50" s="133">
        <f>J28+J32</f>
        <v>806.399</v>
      </c>
      <c r="K50" s="74">
        <f>K28+K32</f>
        <v>818.443</v>
      </c>
      <c r="L50" s="74">
        <f>L28+L32</f>
        <v>814.243</v>
      </c>
      <c r="M50" s="74">
        <f>M28+M32</f>
        <v>810.043</v>
      </c>
      <c r="N50" s="74">
        <f>N28+N32</f>
        <v>805.8430000000001</v>
      </c>
      <c r="O50" s="74">
        <f>O28+O32</f>
        <v>757.643</v>
      </c>
    </row>
    <row r="51">
      <c r="B51" t="s" s="20">
        <v>1361</v>
      </c>
      <c r="C51" s="74">
        <f>C9+C10+C21</f>
        <v>254.597</v>
      </c>
      <c r="D51" s="74">
        <f>D9+D10+D21</f>
        <v>255.61399999999998</v>
      </c>
      <c r="E51" s="74">
        <f>E9+E10+E21</f>
        <v>317.717</v>
      </c>
      <c r="F51" s="74">
        <f>F9+F10+F21</f>
        <v>285.78999999999996</v>
      </c>
      <c r="G51" s="106">
        <f>G9+G10+G21</f>
        <v>91.245</v>
      </c>
      <c r="I51" s="74">
        <f>I9+I10+I21</f>
        <v>81.507</v>
      </c>
      <c r="J51" s="133">
        <f>J9+J10+J21</f>
        <v>81.507</v>
      </c>
      <c r="K51" s="74">
        <f>K9+K10+K21</f>
        <v>343.93224728745446</v>
      </c>
      <c r="L51" s="74">
        <f>L9+L10+L21</f>
        <v>687.9347649220754</v>
      </c>
      <c r="M51" s="74">
        <f>M9+M10+M21</f>
        <v>1138.6289250817802</v>
      </c>
      <c r="N51" s="74">
        <f>N9+N10+N21</f>
        <v>1714.4283686946187</v>
      </c>
      <c r="O51" s="74">
        <f>O9+O10+O21</f>
        <v>2389.533512383416</v>
      </c>
    </row>
    <row r="52">
      <c r="B52" t="s" s="20">
        <v>708</v>
      </c>
      <c r="C52" s="74">
        <f>C50-C51</f>
        <v>-200.69</v>
      </c>
      <c r="D52" s="74">
        <f>D50-D51</f>
        <v>-204.37199999999999</v>
      </c>
      <c r="E52" s="74">
        <f>E50-E51</f>
        <v>-269.139</v>
      </c>
      <c r="F52" s="74">
        <f>F50-F51</f>
        <v>-239.87599999999998</v>
      </c>
      <c r="G52" s="106">
        <f>G50-G51</f>
        <v>731.398</v>
      </c>
      <c r="I52" s="74">
        <f>I50-I51</f>
        <v>724.892</v>
      </c>
      <c r="J52" s="133">
        <f>J50-J51</f>
        <v>724.892</v>
      </c>
      <c r="K52" s="74">
        <f>K50-K51</f>
        <v>474.5107527125455</v>
      </c>
      <c r="L52" s="74">
        <f>L50-L51</f>
        <v>126.30823507792468</v>
      </c>
      <c r="M52" s="74">
        <f>M50-M51</f>
        <v>-328.58592508178015</v>
      </c>
      <c r="N52" s="74">
        <f>N50-N51</f>
        <v>-908.5853686946186</v>
      </c>
      <c r="O52" s="74">
        <f>O50-O51</f>
        <v>-1631.890512383416</v>
      </c>
    </row>
    <row r="53">
      <c r="B53" t="s" s="71">
        <v>580</v>
      </c>
      <c r="C53" s="82">
        <f>C52/IS!C68</f>
        <v>-2.76143431118939</v>
      </c>
      <c r="D53" s="82">
        <f>D52/IS!D68</f>
        <v>-2.5188818773417476</v>
      </c>
      <c r="E53" s="82">
        <f>E52/IS!E68</f>
        <v>-2.541324772201502</v>
      </c>
      <c r="F53" s="82">
        <f>F52/IS!F68</f>
        <v>-1.6466630970523217</v>
      </c>
      <c r="G53" s="94">
        <f>G52/IS!G68</f>
        <v>2.9469277569603927</v>
      </c>
      <c r="J53" s="152">
        <f>J52/IS!J68</f>
        <v>2.5838706802830216</v>
      </c>
      <c r="K53" s="94">
        <f>K52/IS!K68</f>
        <v>1.402313765764032</v>
      </c>
      <c r="L53" s="82">
        <f>L52/IS!L68</f>
        <v>0.30216891012940617</v>
      </c>
      <c r="M53" s="82">
        <f>M52/IS!M68</f>
        <v>-0.6344189342330823</v>
      </c>
      <c r="N53" s="82">
        <f>N52/IS!N68</f>
        <v>-1.4334158828616665</v>
      </c>
      <c r="O53" s="82">
        <f>O52/IS!O68</f>
        <v>-2.1399651109409663</v>
      </c>
    </row>
    <row r="54">
      <c r="J54" s="132"/>
    </row>
    <row r="55">
      <c r="B55" t="s" s="143">
        <v>181</v>
      </c>
      <c r="C55" s="143"/>
      <c r="D55" s="6"/>
      <c r="E55" s="6"/>
      <c r="F55" s="6"/>
      <c r="G55" s="95"/>
      <c r="H55" s="6"/>
      <c r="I55" s="6"/>
      <c r="J55" s="153"/>
      <c r="K55" s="6"/>
      <c r="L55" s="6"/>
      <c r="M55" s="6"/>
      <c r="N55" s="6"/>
      <c r="O55" s="6"/>
      <c r="P55" s="6"/>
      <c r="Q55" s="6"/>
    </row>
    <row r="56">
      <c r="B56" t="s" s="142">
        <v>687</v>
      </c>
      <c r="C56" s="113"/>
      <c r="D56" s="113"/>
      <c r="E56" s="113"/>
      <c r="F56" s="113"/>
      <c r="G56" s="115"/>
      <c r="H56" s="113"/>
      <c r="I56" s="113"/>
      <c r="J56" s="156"/>
      <c r="K56" s="114"/>
      <c r="L56" s="114"/>
      <c r="M56" s="114"/>
      <c r="N56" s="114"/>
      <c r="O56" s="114"/>
      <c r="P56" s="113"/>
      <c r="Q56" s="113"/>
    </row>
    <row r="57">
      <c r="B57" t="s" s="71">
        <v>688</v>
      </c>
      <c r="G57" s="93"/>
      <c r="J57" s="132"/>
      <c r="K57" s="79">
        <f>IS!K33*Assumptions!D114</f>
        <v>18.799605297456516</v>
      </c>
      <c r="L57" s="79">
        <f>IS!L33*Assumptions!E114</f>
        <v>21.99994620864751</v>
      </c>
      <c r="M57" s="79">
        <f>IS!M33*Assumptions!F114</f>
        <v>25.960585730130397</v>
      </c>
      <c r="N57" s="79">
        <f>IS!N33*Assumptions!G114</f>
        <v>30.620564537286647</v>
      </c>
      <c r="O57" s="79">
        <f>IS!O33*Assumptions!H114</f>
        <v>36.14060069277311</v>
      </c>
    </row>
    <row r="58">
      <c r="B58" t="s" s="141">
        <v>680</v>
      </c>
      <c r="G58" s="93"/>
      <c r="J58" s="132"/>
      <c r="K58" s="74">
        <f>-K65</f>
        <v>-14.908256880733944</v>
      </c>
      <c r="L58" s="74">
        <f>-L65</f>
        <v>-18.099547511312217</v>
      </c>
      <c r="M58" s="74">
        <f>-M65</f>
        <v>-21.205357142857142</v>
      </c>
      <c r="N58" s="74">
        <f>-N65</f>
        <v>-24.229074889867842</v>
      </c>
      <c r="O58" s="74">
        <f>-O65</f>
        <v>-29.34782608695652</v>
      </c>
    </row>
    <row r="59">
      <c r="B59" t="s" s="71">
        <v>689</v>
      </c>
      <c r="G59" s="93"/>
      <c r="J59" s="132"/>
      <c r="K59" s="74">
        <f>K57+K58</f>
        <v>3.891348416722572</v>
      </c>
      <c r="L59" s="74">
        <f>L57+L58</f>
        <v>3.9003986973352944</v>
      </c>
      <c r="M59" s="74">
        <f>M57+M58</f>
        <v>4.755228587273255</v>
      </c>
      <c r="N59" s="74">
        <f>N57+N58</f>
        <v>6.391489647418805</v>
      </c>
      <c r="O59" s="74">
        <f>O57+O58</f>
        <v>6.792774605816593</v>
      </c>
    </row>
    <row r="60">
      <c r="B60" t="s" s="138">
        <v>690</v>
      </c>
      <c r="C60" s="157"/>
      <c r="D60" s="157"/>
      <c r="E60" s="157"/>
      <c r="F60" s="157"/>
      <c r="G60" s="131">
        <f>G11+G12-G25-G26-G27</f>
        <v>61.52700000000003</v>
      </c>
      <c r="H60" s="157"/>
      <c r="I60" s="157"/>
      <c r="J60" s="158"/>
      <c r="K60" s="129">
        <f>G60+K59</f>
        <v>65.41834841672261</v>
      </c>
      <c r="L60" s="129">
        <f>K60+L59</f>
        <v>69.3187471140579</v>
      </c>
      <c r="M60" s="129">
        <f>L60+M59</f>
        <v>74.07397570133115</v>
      </c>
      <c r="N60" s="129">
        <f>M60+N59</f>
        <v>80.46546534874996</v>
      </c>
      <c r="O60" s="129">
        <f>N60+O59</f>
        <v>87.25823995456655</v>
      </c>
    </row>
    <row r="61">
      <c r="B61" t="s" s="139">
        <v>184</v>
      </c>
      <c r="G61" s="110">
        <f>G60/IS!G33</f>
        <v>0.08412591198958667</v>
      </c>
      <c r="J61" s="132"/>
      <c r="K61" s="109">
        <f>K60/IS!K33</f>
        <v>0.06959544882101684</v>
      </c>
      <c r="L61" s="109">
        <f>L60/IS!L33</f>
        <v>0.06301719691188228</v>
      </c>
      <c r="M61" s="109">
        <f>M60/IS!M33</f>
        <v>0.0570664903106245</v>
      </c>
      <c r="N61" s="109">
        <f>N60/IS!N33</f>
        <v>0.0525564871612783</v>
      </c>
      <c r="O61" s="109">
        <f>O60/IS!O33</f>
        <v>0.048288206771292114</v>
      </c>
    </row>
    <row r="62">
      <c r="B62" t="s" s="71">
        <v>691</v>
      </c>
      <c r="G62" s="93"/>
      <c r="J62" s="132"/>
      <c r="K62" s="81">
        <f>K60/G60</f>
        <v>1.0632461913748854</v>
      </c>
      <c r="L62" s="81">
        <f>L60/K60</f>
        <v>1.0596223963419145</v>
      </c>
      <c r="M62" s="81">
        <f>M60/L60</f>
        <v>1.0685994595293093</v>
      </c>
      <c r="N62" s="81">
        <f>N60/M60</f>
        <v>1.0862852248296961</v>
      </c>
      <c r="O62" s="81">
        <f>O60/N60</f>
        <v>1.084418508938905</v>
      </c>
    </row>
    <row r="63">
      <c r="B63" t="s" s="142">
        <v>673</v>
      </c>
      <c r="C63" s="113"/>
      <c r="D63" s="113"/>
      <c r="E63" s="113"/>
      <c r="F63" s="113"/>
      <c r="G63" s="115"/>
      <c r="H63" s="113"/>
      <c r="I63" s="113"/>
      <c r="J63" s="156"/>
      <c r="K63" s="114"/>
      <c r="L63" s="114"/>
      <c r="M63" s="114"/>
      <c r="N63" s="114"/>
      <c r="O63" s="114"/>
      <c r="P63" s="113"/>
      <c r="Q63" s="113"/>
    </row>
    <row r="64">
      <c r="B64" t="s" s="71">
        <v>692</v>
      </c>
      <c r="G64" s="93"/>
      <c r="J64" s="132"/>
      <c r="K64" s="74">
        <f>G67</f>
        <v>17.61</v>
      </c>
      <c r="L64" s="74">
        <f>K67</f>
        <v>19.518256880733944</v>
      </c>
      <c r="M64" s="74">
        <f>L67</f>
        <v>21.61780439204616</v>
      </c>
      <c r="N64" s="74">
        <f>M67</f>
        <v>23.823161534903306</v>
      </c>
      <c r="O64" s="74">
        <f>N67</f>
        <v>26.052236424771152</v>
      </c>
    </row>
    <row r="65">
      <c r="B65" t="s" s="141">
        <v>693</v>
      </c>
      <c r="G65" s="108">
        <f>-CFS!G21</f>
        <v>17.036</v>
      </c>
      <c r="J65" s="132"/>
      <c r="K65" s="79">
        <f>Assumptions!D120/Assumptions!D126</f>
        <v>14.908256880733944</v>
      </c>
      <c r="L65" s="79">
        <f>Assumptions!E120/Assumptions!E126</f>
        <v>18.099547511312217</v>
      </c>
      <c r="M65" s="79">
        <f>Assumptions!F120/Assumptions!F126</f>
        <v>21.205357142857142</v>
      </c>
      <c r="N65" s="79">
        <f>Assumptions!G120/Assumptions!G126</f>
        <v>24.229074889867842</v>
      </c>
      <c r="O65" s="79">
        <f>Assumptions!H120/Assumptions!H126</f>
        <v>29.34782608695652</v>
      </c>
    </row>
    <row r="66">
      <c r="B66" t="s" s="141">
        <v>694</v>
      </c>
      <c r="G66" s="108">
        <f>CFS!G12</f>
        <v>11.487</v>
      </c>
      <c r="J66" s="132"/>
      <c r="K66" s="79">
        <f>MIN(Assumptions!D120,K64+K65)</f>
        <v>13</v>
      </c>
      <c r="L66" s="79">
        <f>MIN(Assumptions!E120,L64+L65)</f>
        <v>16</v>
      </c>
      <c r="M66" s="79">
        <f>MIN(Assumptions!F120,M64+M65)</f>
        <v>19</v>
      </c>
      <c r="N66" s="79">
        <f>MIN(Assumptions!G120,N64+N65)</f>
        <v>22</v>
      </c>
      <c r="O66" s="79">
        <f>MIN(Assumptions!H120,O64+O65)</f>
        <v>27</v>
      </c>
    </row>
    <row r="67">
      <c r="B67" t="s" s="138">
        <v>695</v>
      </c>
      <c r="C67" s="157"/>
      <c r="D67" s="157"/>
      <c r="E67" s="157"/>
      <c r="F67" s="157"/>
      <c r="G67" s="131">
        <f>G13</f>
        <v>17.61</v>
      </c>
      <c r="H67" s="157"/>
      <c r="I67" s="157"/>
      <c r="J67" s="158"/>
      <c r="K67" s="129">
        <f>K64+K65-K66</f>
        <v>19.518256880733944</v>
      </c>
      <c r="L67" s="129">
        <f>L64+L65-L66</f>
        <v>21.61780439204616</v>
      </c>
      <c r="M67" s="129">
        <f>M64+M65-M66</f>
        <v>23.823161534903306</v>
      </c>
      <c r="N67" s="129">
        <f>N64+N65-N66</f>
        <v>26.052236424771152</v>
      </c>
      <c r="O67" s="129">
        <f>O64+O65-O66</f>
        <v>28.40006251172767</v>
      </c>
    </row>
    <row r="68">
      <c r="B68" t="s" s="71">
        <v>198</v>
      </c>
      <c r="G68" s="91">
        <f>G66/G65</f>
        <v>0.6742779995304061</v>
      </c>
      <c r="J68" s="132"/>
      <c r="K68" s="77">
        <f>K66/K65</f>
        <v>0.872</v>
      </c>
      <c r="L68" s="77">
        <f>L66/L65</f>
        <v>0.884</v>
      </c>
      <c r="M68" s="77">
        <f>M66/M65</f>
        <v>0.896</v>
      </c>
      <c r="N68" s="77">
        <f>N66/N65</f>
        <v>0.9079999999999999</v>
      </c>
      <c r="O68" s="77">
        <f>O66/O65</f>
        <v>0.92</v>
      </c>
    </row>
    <row r="69">
      <c r="B69" t="s" s="142">
        <v>561</v>
      </c>
      <c r="C69" s="113"/>
      <c r="D69" s="113"/>
      <c r="E69" s="113"/>
      <c r="F69" s="113"/>
      <c r="G69" s="115"/>
      <c r="H69" s="113"/>
      <c r="I69" s="113"/>
      <c r="J69" s="156"/>
      <c r="K69" s="114"/>
      <c r="L69" s="114"/>
      <c r="M69" s="114"/>
      <c r="N69" s="114"/>
      <c r="O69" s="114"/>
      <c r="P69" s="113"/>
      <c r="Q69" s="113"/>
    </row>
    <row r="70">
      <c r="B70" t="s" s="71">
        <v>692</v>
      </c>
      <c r="G70" s="93"/>
      <c r="J70" s="132"/>
      <c r="K70" s="74">
        <f>G75</f>
        <v>26.607</v>
      </c>
      <c r="L70" s="74">
        <f>K75</f>
        <v>33.96892543448397</v>
      </c>
      <c r="M70" s="74">
        <f>L75</f>
        <v>39.23241256490289</v>
      </c>
      <c r="N70" s="74">
        <f>M75</f>
        <v>44.72307644682546</v>
      </c>
      <c r="O70" s="74">
        <f>N75</f>
        <v>50.32663975714892</v>
      </c>
    </row>
    <row r="71">
      <c r="B71" t="s" s="141">
        <v>696</v>
      </c>
      <c r="G71" s="108">
        <f>-CFS!G32</f>
        <v>11.554</v>
      </c>
      <c r="J71" s="132"/>
      <c r="K71" s="79">
        <f>IS!K33*Assumptions!D108</f>
        <v>20.67956582720217</v>
      </c>
      <c r="L71" s="79">
        <f>IS!L33*Assumptions!E108</f>
        <v>16.499959656485633</v>
      </c>
      <c r="M71" s="79">
        <f>IS!M33*Assumptions!F108</f>
        <v>19.470439297597796</v>
      </c>
      <c r="N71" s="79">
        <f>IS!N33*Assumptions!G108</f>
        <v>22.965423402964984</v>
      </c>
      <c r="O71" s="79">
        <f>IS!O33*Assumptions!H108</f>
        <v>27.105450519579833</v>
      </c>
    </row>
    <row r="72">
      <c r="B72" t="s" s="139">
        <v>184</v>
      </c>
      <c r="G72" s="110">
        <f>G71/IS!G33</f>
        <v>0.015797792629702146</v>
      </c>
      <c r="J72" s="132"/>
      <c r="K72" s="109">
        <f>K71/IS!K33</f>
        <v>0.022</v>
      </c>
      <c r="L72" s="109">
        <f>L71/IS!L33</f>
        <v>0.015</v>
      </c>
      <c r="M72" s="109">
        <f>M71/IS!M33</f>
        <v>0.015</v>
      </c>
      <c r="N72" s="109">
        <f>N71/IS!N33</f>
        <v>0.015</v>
      </c>
      <c r="O72" s="109">
        <f>O71/IS!O33</f>
        <v>0.015000000000000001</v>
      </c>
    </row>
    <row r="73">
      <c r="B73" t="s" s="141">
        <v>697</v>
      </c>
      <c r="G73" s="108">
        <f>-IS!G59</f>
        <v>9.840999999999994</v>
      </c>
      <c r="J73" s="132"/>
      <c r="K73" s="79">
        <f>K71*Assumptions!D102</f>
        <v>13.317640392718197</v>
      </c>
      <c r="L73" s="79">
        <f>L71*Assumptions!E102</f>
        <v>11.236472526066716</v>
      </c>
      <c r="M73" s="79">
        <f>M71*Assumptions!F102</f>
        <v>13.979775415675217</v>
      </c>
      <c r="N73" s="79">
        <f>N71*Assumptions!G102</f>
        <v>17.36186009264153</v>
      </c>
      <c r="O73" s="79">
        <f>O71*Assumptions!H102</f>
        <v>21.49462226202681</v>
      </c>
    </row>
    <row r="74">
      <c r="B74" t="s" s="139">
        <v>698</v>
      </c>
      <c r="G74" s="102">
        <f>G73/G71</f>
        <v>0.8517396572615539</v>
      </c>
      <c r="J74" s="132"/>
      <c r="K74" s="99">
        <f>K73/K71</f>
        <v>0.644</v>
      </c>
      <c r="L74" s="99">
        <f>L73/L71</f>
        <v>0.681</v>
      </c>
      <c r="M74" s="99">
        <f>M73/M71</f>
        <v>0.718</v>
      </c>
      <c r="N74" s="99">
        <f>N73/N71</f>
        <v>0.756</v>
      </c>
      <c r="O74" s="99">
        <f>O73/O71</f>
        <v>0.793</v>
      </c>
    </row>
    <row r="75">
      <c r="B75" t="s" s="138">
        <v>695</v>
      </c>
      <c r="C75" s="157"/>
      <c r="D75" s="157"/>
      <c r="E75" s="157"/>
      <c r="F75" s="157"/>
      <c r="G75" s="131">
        <f>G14</f>
        <v>26.607</v>
      </c>
      <c r="H75" s="157"/>
      <c r="I75" s="157"/>
      <c r="J75" s="158"/>
      <c r="K75" s="129">
        <f>K70+K71-K73</f>
        <v>33.96892543448397</v>
      </c>
      <c r="L75" s="129">
        <f>L70+L71-L73</f>
        <v>39.23241256490289</v>
      </c>
      <c r="M75" s="129">
        <f>M70+M71-M73</f>
        <v>44.72307644682546</v>
      </c>
      <c r="N75" s="129">
        <f>N70+N71-N73</f>
        <v>50.32663975714892</v>
      </c>
      <c r="O75" s="129">
        <f>O70+O71-O73</f>
        <v>55.93746801470195</v>
      </c>
    </row>
    <row r="76">
      <c r="B76" t="s" s="142">
        <v>699</v>
      </c>
      <c r="C76" s="113"/>
      <c r="D76" s="113"/>
      <c r="E76" s="113"/>
      <c r="F76" s="113"/>
      <c r="G76" s="115"/>
      <c r="H76" s="113"/>
      <c r="I76" s="113"/>
      <c r="J76" s="156"/>
      <c r="K76" s="114"/>
      <c r="L76" s="114"/>
      <c r="M76" s="114"/>
      <c r="N76" s="114"/>
      <c r="O76" s="114"/>
      <c r="P76" s="113"/>
      <c r="Q76" s="113"/>
    </row>
    <row r="77">
      <c r="B77" t="s" s="71">
        <v>692</v>
      </c>
      <c r="G77" s="93"/>
      <c r="J77" s="132"/>
      <c r="K77" s="74">
        <f>G79</f>
        <v>687.578</v>
      </c>
      <c r="L77" s="74">
        <f>K79</f>
        <v>581.4979999999999</v>
      </c>
      <c r="M77" s="74">
        <f>L79</f>
        <v>475.49799999999993</v>
      </c>
      <c r="N77" s="74">
        <f>M79</f>
        <v>369.5279999999999</v>
      </c>
      <c r="O77" s="74">
        <f>N79</f>
        <v>265.1579999999999</v>
      </c>
    </row>
    <row r="78">
      <c r="B78" t="s" s="141">
        <v>694</v>
      </c>
      <c r="G78" s="108">
        <f>-IS!G60</f>
        <v>75.7</v>
      </c>
      <c r="J78" s="132"/>
      <c r="K78" s="79">
        <f>MIN(K77,Assumptions!D150)</f>
        <v>106.08</v>
      </c>
      <c r="L78" s="79">
        <f>MIN(L77,Assumptions!E150)</f>
        <v>106</v>
      </c>
      <c r="M78" s="79">
        <f>MIN(M77,Assumptions!F150)</f>
        <v>105.97</v>
      </c>
      <c r="N78" s="79">
        <f>MIN(N77,Assumptions!G150)</f>
        <v>104.37</v>
      </c>
      <c r="O78" s="79">
        <f>MIN(O77,Assumptions!H150)</f>
        <v>104.37</v>
      </c>
    </row>
    <row r="79">
      <c r="B79" t="s" s="138">
        <v>695</v>
      </c>
      <c r="C79" s="157"/>
      <c r="D79" s="157"/>
      <c r="E79" s="157"/>
      <c r="F79" s="157"/>
      <c r="G79" s="131">
        <f>G19</f>
        <v>687.578</v>
      </c>
      <c r="H79" s="157"/>
      <c r="I79" s="157"/>
      <c r="J79" s="158"/>
      <c r="K79" s="129">
        <f>K77-K78</f>
        <v>581.4979999999999</v>
      </c>
      <c r="L79" s="129">
        <f>L77-L78</f>
        <v>475.49799999999993</v>
      </c>
      <c r="M79" s="129">
        <f>M77-M78</f>
        <v>369.5279999999999</v>
      </c>
      <c r="N79" s="129">
        <f>N77-N78</f>
        <v>265.1579999999999</v>
      </c>
      <c r="O79" s="129">
        <f>O77-O78</f>
        <v>160.7879999999999</v>
      </c>
    </row>
    <row r="80">
      <c r="B80" t="s" s="142">
        <v>700</v>
      </c>
      <c r="C80" s="113"/>
      <c r="D80" s="113"/>
      <c r="E80" s="113"/>
      <c r="F80" s="113"/>
      <c r="G80" s="115"/>
      <c r="H80" s="113"/>
      <c r="I80" s="113"/>
      <c r="J80" s="156"/>
      <c r="K80" s="114"/>
      <c r="L80" s="114"/>
      <c r="M80" s="114"/>
      <c r="N80" s="114"/>
      <c r="O80" s="114"/>
      <c r="P80" s="113"/>
      <c r="Q80" s="113"/>
    </row>
    <row r="81">
      <c r="B81" t="s" s="71">
        <v>701</v>
      </c>
      <c r="G81" s="93"/>
      <c r="J81" s="132"/>
      <c r="K81" s="74">
        <f>G83</f>
        <v>842</v>
      </c>
      <c r="L81" s="74">
        <f>K83</f>
        <v>834</v>
      </c>
      <c r="M81" s="74">
        <f>L83</f>
        <v>826</v>
      </c>
      <c r="N81" s="74">
        <f>M83</f>
        <v>818</v>
      </c>
      <c r="O81" s="74">
        <f>N83</f>
        <v>810</v>
      </c>
    </row>
    <row r="82">
      <c r="B82" t="s" s="141">
        <v>702</v>
      </c>
      <c r="G82" s="93"/>
      <c r="J82" s="132"/>
      <c r="K82" s="79">
        <f>MIN(K81,Assumptions!D174)</f>
        <v>8</v>
      </c>
      <c r="L82" s="79">
        <f>MIN(L81,Assumptions!E174)</f>
        <v>8</v>
      </c>
      <c r="M82" s="79">
        <f>MIN(M81,Assumptions!F174)</f>
        <v>8</v>
      </c>
      <c r="N82" s="79">
        <f>MIN(N81,Assumptions!G174)</f>
        <v>8</v>
      </c>
      <c r="O82" s="79">
        <f>MIN(O81,Assumptions!H174)</f>
        <v>52</v>
      </c>
    </row>
    <row r="83">
      <c r="B83" t="s" s="138">
        <v>703</v>
      </c>
      <c r="C83" s="157"/>
      <c r="D83" s="157"/>
      <c r="E83" s="157"/>
      <c r="F83" s="157"/>
      <c r="G83" s="159">
        <v>842</v>
      </c>
      <c r="H83" s="157"/>
      <c r="I83" s="157"/>
      <c r="J83" s="158"/>
      <c r="K83" s="129">
        <f>K81-K82</f>
        <v>834</v>
      </c>
      <c r="L83" s="129">
        <f>L81-L82</f>
        <v>826</v>
      </c>
      <c r="M83" s="129">
        <f>M81-M82</f>
        <v>818</v>
      </c>
      <c r="N83" s="129">
        <f>N81-N82</f>
        <v>810</v>
      </c>
      <c r="O83" s="129">
        <f>O81-O82</f>
        <v>758</v>
      </c>
    </row>
    <row r="84">
      <c r="B84" t="s" s="71">
        <v>704</v>
      </c>
      <c r="G84" s="93"/>
      <c r="J84" s="132"/>
      <c r="K84" s="74">
        <f>G86</f>
        <v>19.35699999999997</v>
      </c>
      <c r="L84" s="74">
        <f>K86</f>
        <v>15.55699999999997</v>
      </c>
      <c r="M84" s="74">
        <f>L86</f>
        <v>11.75699999999997</v>
      </c>
      <c r="N84" s="74">
        <f>M86</f>
        <v>7.95699999999997</v>
      </c>
      <c r="O84" s="74">
        <f>N86</f>
        <v>4.15699999999997</v>
      </c>
    </row>
    <row r="85">
      <c r="B85" t="s" s="141">
        <v>694</v>
      </c>
      <c r="G85" s="93"/>
      <c r="J85" s="132"/>
      <c r="K85" s="79">
        <f>MIN(K84,Assumptions!D186)</f>
        <v>3.8</v>
      </c>
      <c r="L85" s="79">
        <f>MIN(L84,Assumptions!E186)</f>
        <v>3.8</v>
      </c>
      <c r="M85" s="79">
        <f>MIN(M84,Assumptions!F186)</f>
        <v>3.8</v>
      </c>
      <c r="N85" s="79">
        <f>MIN(N84,Assumptions!G186)</f>
        <v>3.8</v>
      </c>
      <c r="O85" s="79">
        <f>MIN(O84,Assumptions!H186)</f>
        <v>3.8</v>
      </c>
    </row>
    <row r="86">
      <c r="B86" t="s" s="71">
        <v>705</v>
      </c>
      <c r="G86" s="106">
        <f>G83-G28-G32</f>
        <v>19.35699999999997</v>
      </c>
      <c r="J86" s="132"/>
      <c r="K86" s="74">
        <f>K84-K85</f>
        <v>15.55699999999997</v>
      </c>
      <c r="L86" s="74">
        <f>L84-L85</f>
        <v>11.75699999999997</v>
      </c>
      <c r="M86" s="74">
        <f>M84-M85</f>
        <v>7.95699999999997</v>
      </c>
      <c r="N86" s="74">
        <f>N84-N85</f>
        <v>4.15699999999997</v>
      </c>
      <c r="O86" s="74">
        <f>O84-O85</f>
        <v>0.35699999999997</v>
      </c>
    </row>
    <row r="87">
      <c r="B87" t="s" s="71">
        <v>706</v>
      </c>
      <c r="G87" s="93"/>
      <c r="J87" s="132"/>
      <c r="K87" s="78">
        <f>Assumptions!D162</f>
        <v>0.06</v>
      </c>
      <c r="L87" s="78">
        <f>Assumptions!E162</f>
        <v>0.06</v>
      </c>
      <c r="M87" s="78">
        <f>Assumptions!F162</f>
        <v>0.06</v>
      </c>
      <c r="N87" s="78">
        <f>Assumptions!G162</f>
        <v>0.06</v>
      </c>
      <c r="O87" s="78">
        <f>Assumptions!H162</f>
        <v>0.06</v>
      </c>
    </row>
    <row r="88">
      <c r="B88" t="s">
        <v>1434</v>
      </c>
      <c r="G88" s="93"/>
      <c r="J88" s="132"/>
      <c r="K88" s="74">
        <f>AVERAGE(K81,K83)*K87</f>
        <v>50.28</v>
      </c>
      <c r="L88" s="74">
        <f>AVERAGE(L81,L83)*L87</f>
        <v>49.8</v>
      </c>
      <c r="M88" s="74">
        <f>AVERAGE(M81,M83)*M87</f>
        <v>49.32</v>
      </c>
      <c r="N88" s="74">
        <f>AVERAGE(N81,N83)*N87</f>
        <v>48.839999999999996</v>
      </c>
      <c r="O88" s="74">
        <f>AVERAGE(O81,O83)*O87</f>
        <v>47.04</v>
      </c>
    </row>
    <row r="89">
      <c r="B89" t="s" s="138">
        <v>209</v>
      </c>
      <c r="C89" s="157"/>
      <c r="D89" s="157"/>
      <c r="E89" s="157"/>
      <c r="F89" s="157"/>
      <c r="G89" s="160"/>
      <c r="H89" s="157"/>
      <c r="I89" s="157"/>
      <c r="J89" s="158"/>
      <c r="K89" s="129">
        <f>K88+K85</f>
        <v>54.08</v>
      </c>
      <c r="L89" s="129">
        <f>L88+L85</f>
        <v>53.599999999999994</v>
      </c>
      <c r="M89" s="129">
        <f>M88+M85</f>
        <v>53.12</v>
      </c>
      <c r="N89" s="129">
        <f>N88+N85</f>
        <v>52.63999999999999</v>
      </c>
      <c r="O89" s="129">
        <f>O88+O85</f>
        <v>50.839999999999996</v>
      </c>
    </row>
    <row r="90">
      <c r="B90" t="s">
        <v>1433</v>
      </c>
      <c r="G90" s="93"/>
      <c r="J90" s="132"/>
      <c r="K90" s="79">
        <f>IF(Assumptions!$D$7=1,AVERAGE(G9,K9),G9)*Assumptions!D168</f>
        <v>8.703544945749089</v>
      </c>
      <c r="L90" s="79">
        <f>IF(Assumptions!$D$7=1,AVERAGE(K9,L9),K9)*Assumptions!E168</f>
        <v>20.637340244190597</v>
      </c>
      <c r="M90" s="79">
        <f>IF(Assumptions!$D$7=1,AVERAGE(L9,M9),L9)*Assumptions!F168</f>
        <v>36.53127380007711</v>
      </c>
      <c r="N90" s="79">
        <f>IF(Assumptions!$D$7=1,AVERAGE(M9,N9),M9)*Assumptions!G168</f>
        <v>57.061145875527984</v>
      </c>
      <c r="O90" s="79">
        <f>IF(Assumptions!$D$7=1,AVERAGE(N9,O9),N9)*Assumptions!H168</f>
        <v>82.0792376215607</v>
      </c>
    </row>
    <row r="91">
      <c r="B91" t="s" s="138">
        <v>708</v>
      </c>
      <c r="C91" s="157"/>
      <c r="D91" s="157"/>
      <c r="E91" s="157"/>
      <c r="F91" s="157"/>
      <c r="G91" s="131">
        <f>G83-G9</f>
        <v>750.755</v>
      </c>
      <c r="H91" s="157"/>
      <c r="I91" s="157"/>
      <c r="J91" s="158"/>
      <c r="K91" s="129">
        <f>K83-K9</f>
        <v>490.06775271254554</v>
      </c>
      <c r="L91" s="129">
        <f>L83-L9</f>
        <v>138.06523507792463</v>
      </c>
      <c r="M91" s="129">
        <f>M83-M9</f>
        <v>-320.62892508178015</v>
      </c>
      <c r="N91" s="129">
        <f>N83-N9</f>
        <v>-904.4283686946187</v>
      </c>
      <c r="O91" s="129">
        <f>O83-O9</f>
        <v>-1631.533512383416</v>
      </c>
    </row>
    <row r="92">
      <c r="B92" t="s" s="71">
        <v>580</v>
      </c>
      <c r="G92" s="94">
        <f>G91/IS!G68</f>
        <v>3.0249204238688097</v>
      </c>
      <c r="J92" s="132"/>
      <c r="K92" s="82">
        <f>K91/IS!K68</f>
        <v>1.4482891101145676</v>
      </c>
      <c r="L92" s="82">
        <f>L91/IS!L68</f>
        <v>0.33029534126985927</v>
      </c>
      <c r="M92" s="82">
        <f>M91/IS!M68</f>
        <v>-0.6190559162996871</v>
      </c>
      <c r="N92" s="82">
        <f>N91/IS!N68</f>
        <v>-1.426857655060115</v>
      </c>
      <c r="O92" s="82">
        <f>O91/IS!O68</f>
        <v>-2.139496962165783</v>
      </c>
    </row>
    <row r="93">
      <c r="B93" t="s" s="142">
        <v>709</v>
      </c>
      <c r="C93" s="113"/>
      <c r="D93" s="113"/>
      <c r="E93" s="113"/>
      <c r="F93" s="113"/>
      <c r="G93" s="115"/>
      <c r="H93" s="113"/>
      <c r="I93" s="113"/>
      <c r="J93" s="156"/>
      <c r="K93" s="114"/>
      <c r="L93" s="114"/>
      <c r="M93" s="114"/>
      <c r="N93" s="114"/>
      <c r="O93" s="114"/>
      <c r="P93" s="113"/>
      <c r="Q93" s="113"/>
    </row>
    <row r="94">
      <c r="B94" t="s" s="71">
        <v>710</v>
      </c>
      <c r="G94" s="93"/>
      <c r="J94" s="132"/>
      <c r="K94" s="79">
        <f>IS!K85-IS!K60</f>
        <v>152.6829242309452</v>
      </c>
      <c r="L94" s="79">
        <f>IS!L85-IS!L60</f>
        <v>246.80626418273562</v>
      </c>
      <c r="M94" s="79">
        <f>IS!M85-IS!M60</f>
        <v>360.36358923374644</v>
      </c>
      <c r="N94" s="79">
        <f>IS!N85-IS!N60</f>
        <v>493.91954892011603</v>
      </c>
      <c r="O94" s="79">
        <f>IS!O85-IS!O60</f>
        <v>645.3227078797704</v>
      </c>
    </row>
    <row r="95">
      <c r="B95" t="s" s="71">
        <v>711</v>
      </c>
      <c r="G95" s="93"/>
      <c r="J95" s="132"/>
      <c r="K95" s="74">
        <f>G98</f>
        <v>695.998</v>
      </c>
      <c r="L95" s="74">
        <f>K98</f>
        <v>665.4614151538113</v>
      </c>
      <c r="M95" s="74">
        <f>L98</f>
        <v>616.1001623172576</v>
      </c>
      <c r="N95" s="74">
        <f>M98</f>
        <v>544.0274444705424</v>
      </c>
      <c r="O95" s="74">
        <f>N98</f>
        <v>445.2435346872776</v>
      </c>
    </row>
    <row r="96">
      <c r="B96" t="s" s="71">
        <v>712</v>
      </c>
      <c r="G96" s="93"/>
      <c r="J96" s="132"/>
      <c r="K96" s="79">
        <f>MAX(0,K94)*Assumptions!D138*Assumptions!D132</f>
        <v>30.53658484618904</v>
      </c>
      <c r="L96" s="79">
        <f>MAX(0,L94)*Assumptions!E138*Assumptions!E132</f>
        <v>49.36125283654712</v>
      </c>
      <c r="M96" s="79">
        <f>MAX(0,M94)*Assumptions!F138*Assumptions!F132</f>
        <v>72.07271784674928</v>
      </c>
      <c r="N96" s="79">
        <f>MAX(0,N94)*Assumptions!G138*Assumptions!G132</f>
        <v>98.78390978402321</v>
      </c>
      <c r="O96" s="79">
        <f>MAX(0,O94)*Assumptions!H138*Assumptions!H132</f>
        <v>129.06454157595408</v>
      </c>
    </row>
    <row r="97">
      <c r="B97" t="s" s="141">
        <v>713</v>
      </c>
      <c r="G97" s="93"/>
      <c r="J97" s="132"/>
      <c r="K97" s="74">
        <f>MIN(K95,K96)</f>
        <v>30.53658484618904</v>
      </c>
      <c r="L97" s="74">
        <f>MIN(L95,L96)</f>
        <v>49.36125283654712</v>
      </c>
      <c r="M97" s="74">
        <f>MIN(M95,M96)</f>
        <v>72.07271784674928</v>
      </c>
      <c r="N97" s="74">
        <f>MIN(N95,N96)</f>
        <v>98.78390978402321</v>
      </c>
      <c r="O97" s="74">
        <f>MIN(O95,O96)</f>
        <v>129.06454157595408</v>
      </c>
    </row>
    <row r="98">
      <c r="B98" t="s" s="138">
        <v>714</v>
      </c>
      <c r="C98" s="157"/>
      <c r="D98" s="157"/>
      <c r="E98" s="157"/>
      <c r="F98" s="157"/>
      <c r="G98" s="131">
        <f>G17</f>
        <v>695.998</v>
      </c>
      <c r="H98" s="157"/>
      <c r="I98" s="157"/>
      <c r="J98" s="158"/>
      <c r="K98" s="129">
        <f>K95-K97</f>
        <v>665.461415153811</v>
      </c>
      <c r="L98" s="129">
        <f>L95-L97</f>
        <v>616.1001623172642</v>
      </c>
      <c r="M98" s="129">
        <f>M95-M97</f>
        <v>544.0274444705084</v>
      </c>
      <c r="N98" s="129">
        <f>N95-N97</f>
        <v>445.2435346865192</v>
      </c>
      <c r="O98" s="129">
        <f>O95-O97</f>
        <v>316.1789931113235</v>
      </c>
    </row>
    <row r="99">
      <c r="B99" t="s" s="71">
        <v>215</v>
      </c>
      <c r="G99" s="93"/>
      <c r="J99" s="132"/>
      <c r="K99" s="79">
        <f>MAX(0,K94)*Assumptions!D132-K97</f>
        <v>7.634146211547257</v>
      </c>
      <c r="L99" s="79">
        <f>MAX(0,L94)*Assumptions!E132-L97</f>
        <v>12.34031320913678</v>
      </c>
      <c r="M99" s="79">
        <f>MAX(0,M94)*Assumptions!F132-M97</f>
        <v>18.018179461687325</v>
      </c>
      <c r="N99" s="79">
        <f>MAX(0,N94)*Assumptions!G132-N97</f>
        <v>24.6959774460058</v>
      </c>
      <c r="O99" s="79">
        <f>MAX(0,O94)*Assumptions!H132-O97</f>
        <v>32.26613539398852</v>
      </c>
    </row>
    <row r="100">
      <c r="B100" t="s" s="71">
        <v>216</v>
      </c>
      <c r="G100" s="93"/>
      <c r="J100" s="132"/>
      <c r="K100" s="79">
        <f>Assumptions!D144</f>
        <v>2</v>
      </c>
      <c r="L100" s="79">
        <f>Assumptions!E144</f>
        <v>2</v>
      </c>
      <c r="M100" s="79">
        <f>Assumptions!F144</f>
        <v>2</v>
      </c>
      <c r="N100" s="79">
        <f>Assumptions!G144</f>
        <v>2</v>
      </c>
      <c r="O100" s="79">
        <f>Assumptions!H144</f>
        <v>2</v>
      </c>
    </row>
    <row r="101">
      <c r="B101" t="s" s="138">
        <v>715</v>
      </c>
      <c r="C101" s="157"/>
      <c r="D101" s="157"/>
      <c r="E101" s="157"/>
      <c r="F101" s="157"/>
      <c r="G101" s="160"/>
      <c r="H101" s="157"/>
      <c r="I101" s="157"/>
      <c r="J101" s="158"/>
      <c r="K101" s="129">
        <f>K99+K100</f>
        <v>9.634146211547257</v>
      </c>
      <c r="L101" s="129">
        <f>L99+L100</f>
        <v>14.34031320913678</v>
      </c>
      <c r="M101" s="129">
        <f>M99+M100</f>
        <v>20.018179461687325</v>
      </c>
      <c r="N101" s="129">
        <f>N99+N100</f>
        <v>26.6959774460058</v>
      </c>
      <c r="O101" s="129">
        <f>O99+O100</f>
        <v>34.26613539398852</v>
      </c>
    </row>
    <row r="102">
      <c r="B102" t="s" s="138">
        <v>716</v>
      </c>
      <c r="C102" s="157"/>
      <c r="D102" s="157"/>
      <c r="E102" s="157"/>
      <c r="F102" s="157"/>
      <c r="G102" s="160"/>
      <c r="H102" s="157"/>
      <c r="I102" s="157"/>
      <c r="J102" s="158"/>
      <c r="K102" s="129">
        <f>K99+K97+K100</f>
        <v>40.1707310577363</v>
      </c>
      <c r="L102" s="129">
        <f>L99+L97+L100</f>
        <v>63.701566045683904</v>
      </c>
      <c r="M102" s="129">
        <f>M99+M97+M100</f>
        <v>92.09089730843661</v>
      </c>
      <c r="N102" s="129">
        <f>N99+N97+N100</f>
        <v>125.47988723002901</v>
      </c>
      <c r="O102" s="129">
        <f>O99+O97+O100</f>
        <v>163.3306769699426</v>
      </c>
    </row>
    <row r="103">
      <c r="B103" t="s" s="71">
        <v>717</v>
      </c>
      <c r="G103" s="93"/>
      <c r="J103" s="132"/>
      <c r="K103" s="78">
        <f>IFERROR(K102/IS!K85,0)</f>
        <v>0.8619787646514723</v>
      </c>
      <c r="L103" s="78">
        <f>IFERROR(L102/IS!L85,0)</f>
        <v>0.45240576770798535</v>
      </c>
      <c r="M103" s="78">
        <f>IFERROR(M102/IS!M85,0)</f>
        <v>0.3620016431460465</v>
      </c>
      <c r="N103" s="78">
        <f>IFERROR(N102/IS!N85,0)</f>
        <v>0.32211534470486797</v>
      </c>
      <c r="O103" s="78">
        <f>IFERROR(O102/IS!O85,0)</f>
        <v>0.3019315267135029</v>
      </c>
    </row>
  </sheetData>
  <pageMargins left="0.7" right="0.7" top="0.75" bottom="0.75" header="0.3" footer="0.3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70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1" sqref="A1"/>
    </sheetView>
  </sheetViews>
  <cols>
    <col min="1" max="1" width="2.21875" customWidth="1"/>
    <col min="2" max="2" width="54.21875" customWidth="1"/>
    <col min="3" max="17" width="12.50390625" customWidth="1"/>
  </cols>
  <sheetData>
    <row r="2">
      <c r="B2" t="s" s="73">
        <v>1325</v>
      </c>
    </row>
    <row r="3">
      <c r="B3" t="s" s="5">
        <v>1464</v>
      </c>
    </row>
    <row r="5">
      <c r="C5" t="s" s="27">
        <v>219</v>
      </c>
      <c r="D5" s="27"/>
      <c r="E5" s="27"/>
      <c r="F5" s="27"/>
      <c r="G5" s="27"/>
      <c r="H5" t="s" s="101">
        <v>623</v>
      </c>
      <c r="I5" s="101"/>
      <c r="J5" t="s" s="155">
        <v>624</v>
      </c>
      <c r="K5" t="s" s="101">
        <v>647</v>
      </c>
      <c r="L5" s="101"/>
      <c r="M5" s="101"/>
      <c r="N5" s="101"/>
      <c r="O5" s="101"/>
      <c r="P5" t="s" s="101">
        <v>625</v>
      </c>
      <c r="Q5" t="s" s="101">
        <v>625</v>
      </c>
    </row>
    <row r="6">
      <c r="C6" s="87">
        <f>DATE(2021,12,31)</f>
        <v>44561</v>
      </c>
      <c r="D6" s="87">
        <f>EDATE(C6,12)</f>
        <v>44926</v>
      </c>
      <c r="E6" s="87">
        <f>EDATE(D6,12)</f>
        <v>45291</v>
      </c>
      <c r="F6" s="87">
        <f>EDATE(E6,12)</f>
        <v>45657</v>
      </c>
      <c r="G6" s="89">
        <f>EDATE(F6,12)</f>
        <v>46022</v>
      </c>
      <c r="H6" s="100">
        <f>DATE(2025,3,31)</f>
        <v>45747</v>
      </c>
      <c r="I6" s="100">
        <f>EDATE(H6,12)</f>
        <v>46112</v>
      </c>
      <c r="J6" s="149">
        <f>I6</f>
        <v>46112</v>
      </c>
      <c r="K6" s="88">
        <f>EDATE(G6,12)</f>
        <v>46387</v>
      </c>
      <c r="L6" s="88">
        <f>EDATE(K6,12)</f>
        <v>46752</v>
      </c>
      <c r="M6" s="88">
        <f>EDATE(L6,12)</f>
        <v>47118</v>
      </c>
      <c r="N6" s="88">
        <f>EDATE(M6,12)</f>
        <v>47483</v>
      </c>
      <c r="O6" s="88">
        <f>EDATE(N6,12)</f>
        <v>47848</v>
      </c>
      <c r="P6" t="s" s="26">
        <v>899</v>
      </c>
      <c r="Q6" t="s" s="26">
        <v>718</v>
      </c>
    </row>
    <row r="7">
      <c r="J7" s="132"/>
    </row>
    <row r="8">
      <c r="B8" t="s" s="6">
        <v>1335</v>
      </c>
      <c r="C8" s="143"/>
      <c r="D8" s="6"/>
      <c r="E8" s="6"/>
      <c r="F8" s="6"/>
      <c r="G8" s="95"/>
      <c r="H8" s="6"/>
      <c r="I8" s="6"/>
      <c r="J8" s="153"/>
      <c r="K8" s="6"/>
      <c r="L8" s="6"/>
      <c r="M8" s="6"/>
      <c r="N8" s="6"/>
      <c r="O8" s="6"/>
      <c r="P8" s="6"/>
      <c r="Q8" s="6"/>
    </row>
    <row r="9">
      <c r="B9" t="s" s="71">
        <v>582</v>
      </c>
      <c r="C9" s="79">
        <f>IS!C87</f>
        <v>-8.094000000000014</v>
      </c>
      <c r="D9" s="79">
        <f>IS!D87</f>
        <v>-6.695000000000008</v>
      </c>
      <c r="E9" s="79">
        <f>IS!E87</f>
        <v>-23.083000000000006</v>
      </c>
      <c r="F9" s="79">
        <f>IS!F87</f>
        <v>427.58500000000004</v>
      </c>
      <c r="G9" s="108">
        <f>IS!G87</f>
        <v>-40.253999999999984</v>
      </c>
      <c r="H9" s="79">
        <f>IS!H87</f>
        <v>6.935999999999994</v>
      </c>
      <c r="I9" s="79">
        <f>IS!I87</f>
        <v>-2.795999999999963</v>
      </c>
      <c r="J9" s="134">
        <f>IS!J87</f>
        <v>-49.98600000000014</v>
      </c>
      <c r="K9" s="79">
        <f>IS!K87</f>
        <v>6.432193173209299</v>
      </c>
      <c r="L9" s="79">
        <f>IS!L87</f>
        <v>77.10469813704492</v>
      </c>
      <c r="M9" s="79">
        <f>IS!M87</f>
        <v>162.30269192530668</v>
      </c>
      <c r="N9" s="79">
        <f>IS!N87</f>
        <v>264.0696616908971</v>
      </c>
      <c r="O9" s="79">
        <f>IS!O87</f>
        <v>377.62203088527076</v>
      </c>
    </row>
    <row r="10">
      <c r="B10" t="s" s="71">
        <v>136</v>
      </c>
      <c r="C10" s="75">
        <v>3.493</v>
      </c>
      <c r="D10" s="75">
        <v>5.139</v>
      </c>
      <c r="E10" s="75">
        <v>9.929</v>
      </c>
      <c r="F10" s="75">
        <v>12.181</v>
      </c>
      <c r="G10" s="103">
        <v>85.541</v>
      </c>
      <c r="H10" s="75">
        <v>3.146</v>
      </c>
      <c r="I10" s="75">
        <v>29.557</v>
      </c>
      <c r="J10" s="133">
        <f>G10+I10-H10</f>
        <v>111.952</v>
      </c>
      <c r="K10" s="79">
        <f>-(IS!K59+IS!K60)</f>
        <v>119.39764039271819</v>
      </c>
      <c r="L10" s="79">
        <f>-(IS!L59+IS!L60)</f>
        <v>117.23647252606672</v>
      </c>
      <c r="M10" s="79">
        <f>-(IS!M59+IS!M60)</f>
        <v>119.94977541567522</v>
      </c>
      <c r="N10" s="79">
        <f>-(IS!N59+IS!N60)</f>
        <v>121.73186009264154</v>
      </c>
      <c r="O10" s="79">
        <f>-(IS!O59+IS!O60)</f>
        <v>125.86462226202681</v>
      </c>
    </row>
    <row r="11">
      <c r="B11" t="s" s="71">
        <v>138</v>
      </c>
      <c r="C11" s="75">
        <v>36.695</v>
      </c>
      <c r="D11" s="75">
        <v>65.691</v>
      </c>
      <c r="E11" s="75">
        <v>104.447</v>
      </c>
      <c r="F11" s="75">
        <v>103.201</v>
      </c>
      <c r="G11" s="103">
        <v>127.896</v>
      </c>
      <c r="H11" s="75">
        <v>23.712</v>
      </c>
      <c r="I11" s="75">
        <v>28.575</v>
      </c>
      <c r="J11" s="133">
        <f>G11+I11-H11</f>
        <v>132.75900000000001</v>
      </c>
      <c r="K11" s="79">
        <f>-IS!K58</f>
        <v>127</v>
      </c>
      <c r="L11" s="79">
        <f>-IS!L58</f>
        <v>127</v>
      </c>
      <c r="M11" s="79">
        <f>-IS!M58</f>
        <v>127</v>
      </c>
      <c r="N11" s="79">
        <f>-IS!N58</f>
        <v>127</v>
      </c>
      <c r="O11" s="79">
        <f>-IS!O58</f>
        <v>127</v>
      </c>
    </row>
    <row r="12">
      <c r="B12" t="s" s="71">
        <v>584</v>
      </c>
      <c r="C12" s="75">
        <v>3.385</v>
      </c>
      <c r="D12" s="75">
        <v>4.327</v>
      </c>
      <c r="E12" s="75">
        <v>4.763</v>
      </c>
      <c r="F12" s="75">
        <v>5.265</v>
      </c>
      <c r="G12" s="103">
        <v>11.487</v>
      </c>
      <c r="H12" s="75">
        <v>1.35</v>
      </c>
      <c r="I12" s="75">
        <v>3.121</v>
      </c>
      <c r="J12" s="133">
        <f>G12+I12-H12</f>
        <v>13.258000000000001</v>
      </c>
      <c r="K12" s="79">
        <f>BS!K66</f>
        <v>13</v>
      </c>
      <c r="L12" s="79">
        <f>BS!L66</f>
        <v>16</v>
      </c>
      <c r="M12" s="79">
        <f>BS!M66</f>
        <v>19</v>
      </c>
      <c r="N12" s="79">
        <f>BS!N66</f>
        <v>22</v>
      </c>
      <c r="O12" s="79">
        <f>BS!O66</f>
        <v>27</v>
      </c>
    </row>
    <row r="13">
      <c r="B13" t="s" s="71">
        <v>140</v>
      </c>
      <c r="C13" s="75">
        <v>1.545</v>
      </c>
      <c r="D13" s="75">
        <v>0.279</v>
      </c>
      <c r="E13" s="75">
        <v>0.28</v>
      </c>
      <c r="F13" s="75">
        <v>0.28</v>
      </c>
      <c r="G13" s="103">
        <v>2.77</v>
      </c>
      <c r="H13" s="75">
        <v>0.069</v>
      </c>
      <c r="I13" s="75">
        <v>0.954</v>
      </c>
      <c r="J13" s="133">
        <f>G13+I13-H13</f>
        <v>3.6550000000000002</v>
      </c>
      <c r="K13" s="79">
        <f>BS!K85</f>
        <v>3.8</v>
      </c>
      <c r="L13" s="79">
        <f>BS!L85</f>
        <v>3.8</v>
      </c>
      <c r="M13" s="79">
        <f>BS!M85</f>
        <v>3.8</v>
      </c>
      <c r="N13" s="79">
        <f>BS!N85</f>
        <v>3.8</v>
      </c>
      <c r="O13" s="79">
        <f>BS!O85</f>
        <v>3.8</v>
      </c>
    </row>
    <row r="14">
      <c r="B14" t="s" s="71">
        <v>585</v>
      </c>
      <c r="C14" s="75">
        <v>-0.675</v>
      </c>
      <c r="D14" s="75">
        <v>-0.803</v>
      </c>
      <c r="E14" s="75">
        <v>-1.665</v>
      </c>
      <c r="F14" s="75">
        <v>-460.032</v>
      </c>
      <c r="G14" s="103">
        <v>-12.607</v>
      </c>
      <c r="H14" s="75">
        <v>1.25</v>
      </c>
      <c r="I14" s="75">
        <v>-2</v>
      </c>
      <c r="J14" s="133">
        <f>G14+I14-H14</f>
        <v>-15.857</v>
      </c>
      <c r="K14" s="79">
        <f>BS!K97</f>
        <v>30.53658484618904</v>
      </c>
      <c r="L14" s="79">
        <f>BS!L97</f>
        <v>49.36125283654712</v>
      </c>
      <c r="M14" s="79">
        <f>BS!M97</f>
        <v>72.07271784674928</v>
      </c>
      <c r="N14" s="79">
        <f>BS!N97</f>
        <v>98.78390978402321</v>
      </c>
      <c r="O14" s="79">
        <f>BS!O97</f>
        <v>129.06454157595408</v>
      </c>
    </row>
    <row r="15">
      <c r="B15" t="s" s="71">
        <v>583</v>
      </c>
      <c r="D15" s="75">
        <v>5.95</v>
      </c>
      <c r="E15" s="75">
        <v>7.619</v>
      </c>
      <c r="F15" s="75">
        <v>9.221</v>
      </c>
      <c r="G15" s="103">
        <v>16.682</v>
      </c>
      <c r="H15" s="75">
        <v>2.375</v>
      </c>
      <c r="I15" s="75">
        <v>4.123</v>
      </c>
      <c r="J15" s="133">
        <f>G15+I15-H15</f>
        <v>18.43</v>
      </c>
    </row>
    <row r="16">
      <c r="B16" t="s" s="71">
        <v>141</v>
      </c>
      <c r="C16" s="75">
        <v>10.303</v>
      </c>
      <c r="E16" s="75">
        <v>0</v>
      </c>
      <c r="F16" s="75">
        <v>0</v>
      </c>
      <c r="G16" s="103">
        <v>0.419</v>
      </c>
      <c r="J16" s="133">
        <f>G16+I16-H16</f>
        <v>0.419</v>
      </c>
    </row>
    <row r="17">
      <c r="B17" t="s" s="71">
        <v>142</v>
      </c>
      <c r="E17" s="75">
        <v>0</v>
      </c>
      <c r="F17" s="75">
        <v>0</v>
      </c>
      <c r="G17" s="103">
        <v>2.165</v>
      </c>
      <c r="H17" s="75">
        <v>0</v>
      </c>
      <c r="I17" s="75">
        <v>0.216</v>
      </c>
      <c r="J17" s="133">
        <f>G17+I17-H17</f>
        <v>2.3810000000000002</v>
      </c>
    </row>
    <row r="18">
      <c r="B18" t="s" s="71">
        <v>144</v>
      </c>
      <c r="E18" s="75">
        <v>-1.474</v>
      </c>
      <c r="F18" s="75">
        <v>-2.185</v>
      </c>
      <c r="G18" s="103">
        <v>-0.284</v>
      </c>
      <c r="H18" s="75">
        <v>-0.284</v>
      </c>
      <c r="I18" s="75">
        <v>0</v>
      </c>
      <c r="J18" s="133">
        <f>G18+I18-H18</f>
        <v>0</v>
      </c>
    </row>
    <row r="19">
      <c r="B19" t="s" s="71">
        <v>145</v>
      </c>
      <c r="E19" s="75">
        <v>-0.089</v>
      </c>
      <c r="F19" s="75">
        <v>-0.035</v>
      </c>
      <c r="G19" s="103">
        <v>-0.112</v>
      </c>
      <c r="H19" s="75">
        <v>-0.112</v>
      </c>
      <c r="I19" s="75">
        <v>0</v>
      </c>
      <c r="J19" s="133">
        <f>G19+I19-H19</f>
        <v>0</v>
      </c>
    </row>
    <row r="20">
      <c r="B20" t="s" s="71">
        <v>146</v>
      </c>
      <c r="G20" s="93"/>
      <c r="H20" s="75">
        <v>0</v>
      </c>
      <c r="I20" s="75">
        <v>-0.08</v>
      </c>
      <c r="J20" s="133">
        <f>G20+I20-H20</f>
        <v>-0.08</v>
      </c>
    </row>
    <row r="21">
      <c r="B21" t="s" s="71">
        <v>588</v>
      </c>
      <c r="C21" s="75">
        <v>-5.161</v>
      </c>
      <c r="D21" s="75">
        <v>-5.845</v>
      </c>
      <c r="E21" s="75">
        <v>-5.067</v>
      </c>
      <c r="F21" s="75">
        <v>-6.242</v>
      </c>
      <c r="G21" s="103">
        <v>-17.036</v>
      </c>
      <c r="H21" s="75">
        <v>0.007</v>
      </c>
      <c r="I21" s="75">
        <v>-3.006</v>
      </c>
      <c r="J21" s="133">
        <f>G21+I21-H21</f>
        <v>-20.049000000000003</v>
      </c>
      <c r="K21" s="79">
        <f>-BS!K65</f>
        <v>-14.908256880733944</v>
      </c>
      <c r="L21" s="79">
        <f>-BS!L65</f>
        <v>-18.099547511312217</v>
      </c>
      <c r="M21" s="79">
        <f>-BS!M65</f>
        <v>-21.205357142857142</v>
      </c>
      <c r="N21" s="79">
        <f>-BS!N65</f>
        <v>-24.229074889867842</v>
      </c>
      <c r="O21" s="79">
        <f>-BS!O65</f>
        <v>-29.34782608695652</v>
      </c>
    </row>
    <row r="22">
      <c r="B22" t="s" s="20">
        <v>1362</v>
      </c>
      <c r="C22" s="74">
        <f>SUM(C23:C28)</f>
        <v>-38.132999999999996</v>
      </c>
      <c r="D22" s="74">
        <f>SUM(D23:D28)</f>
        <v>-10.038</v>
      </c>
      <c r="E22" s="74">
        <f>SUM(E23:E28)</f>
        <v>-11.057999999999996</v>
      </c>
      <c r="F22" s="74">
        <f>SUM(F23:F28)</f>
        <v>-14.918000000000003</v>
      </c>
      <c r="G22" s="74">
        <f>SUM(G23:G28)</f>
        <v>-0.7710000000000015</v>
      </c>
      <c r="H22" s="74">
        <f>SUM(H23:H28)</f>
        <v>-13.948999999999998</v>
      </c>
      <c r="I22" s="74">
        <f>SUM(I23:I28)</f>
        <v>-40.989</v>
      </c>
      <c r="J22" s="133">
        <f>SUM(J23:J28)</f>
        <v>-27.811</v>
      </c>
      <c r="K22" s="79">
        <f>-BS!K59</f>
        <v>-3.891348416722572</v>
      </c>
      <c r="L22" s="79">
        <f>-BS!L59</f>
        <v>-3.9003986973352944</v>
      </c>
      <c r="M22" s="79">
        <f>-BS!M59</f>
        <v>-4.755228587273255</v>
      </c>
      <c r="N22" s="79">
        <f>-BS!N59</f>
        <v>-6.391489647418805</v>
      </c>
      <c r="O22" s="79">
        <f>-BS!O59</f>
        <v>-6.792774605816593</v>
      </c>
    </row>
    <row r="23">
      <c r="B23" t="s" s="147">
        <v>1363</v>
      </c>
      <c r="C23" s="75">
        <v>-17.308</v>
      </c>
      <c r="D23" s="75">
        <v>-19.098</v>
      </c>
      <c r="E23" s="75">
        <v>-19.298</v>
      </c>
      <c r="F23" s="75">
        <v>-13.648</v>
      </c>
      <c r="G23" s="103">
        <v>-11.148</v>
      </c>
      <c r="H23" s="75">
        <v>-5.296</v>
      </c>
      <c r="I23" s="75">
        <v>-2.498</v>
      </c>
      <c r="J23" s="133">
        <f>G23+I23-H23</f>
        <v>-8.350000000000001</v>
      </c>
    </row>
    <row r="24">
      <c r="B24" t="s" s="147">
        <v>1364</v>
      </c>
      <c r="C24" s="75">
        <v>-13.136</v>
      </c>
      <c r="D24" s="75">
        <v>-4.956</v>
      </c>
      <c r="E24" s="75">
        <v>1.151</v>
      </c>
      <c r="F24" s="75">
        <v>5.627</v>
      </c>
      <c r="G24" s="103">
        <v>-11.159</v>
      </c>
      <c r="H24" s="75">
        <v>-2.576</v>
      </c>
      <c r="I24" s="75">
        <v>-4.078</v>
      </c>
      <c r="J24" s="133">
        <f>G24+I24-H24</f>
        <v>-12.661000000000001</v>
      </c>
    </row>
    <row r="25">
      <c r="B25" t="s" s="147">
        <v>1365</v>
      </c>
      <c r="C25" s="75">
        <v>0.361</v>
      </c>
      <c r="D25" s="75">
        <v>1.609</v>
      </c>
      <c r="E25" s="75">
        <v>-0.115</v>
      </c>
      <c r="F25" s="75">
        <v>0.269</v>
      </c>
      <c r="G25" s="103">
        <v>-1.341</v>
      </c>
      <c r="H25" s="75">
        <v>-0.918</v>
      </c>
      <c r="I25" s="75">
        <v>-2.458</v>
      </c>
      <c r="J25" s="133">
        <f>G25+I25-H25</f>
        <v>-2.8810000000000002</v>
      </c>
    </row>
    <row r="26">
      <c r="B26" t="s" s="147">
        <v>1366</v>
      </c>
      <c r="C26" s="75">
        <v>-8.05</v>
      </c>
      <c r="D26" s="75">
        <v>0.207</v>
      </c>
      <c r="E26" s="75">
        <v>1.204</v>
      </c>
      <c r="F26" s="75">
        <v>11.693</v>
      </c>
      <c r="G26" s="103">
        <v>22.449</v>
      </c>
      <c r="H26" s="75">
        <v>-5.124</v>
      </c>
      <c r="I26" s="75">
        <v>-32.824</v>
      </c>
      <c r="J26" s="133">
        <f>G26+I26-H26</f>
        <v>-5.250999999999997</v>
      </c>
    </row>
    <row r="27">
      <c r="B27" t="s" s="147">
        <v>1367</v>
      </c>
      <c r="D27" s="75">
        <v>12.2</v>
      </c>
      <c r="E27" s="75">
        <v>6</v>
      </c>
      <c r="F27" s="75">
        <v>-18.859</v>
      </c>
      <c r="G27" s="103">
        <v>-0.035</v>
      </c>
      <c r="H27" s="75">
        <v>-0.035</v>
      </c>
      <c r="I27" s="75">
        <v>0</v>
      </c>
      <c r="J27" s="133">
        <f>G27+I27-H27</f>
        <v>0</v>
      </c>
    </row>
    <row r="28">
      <c r="B28" t="s" s="147">
        <v>1368</v>
      </c>
      <c r="E28" s="75">
        <v>0</v>
      </c>
      <c r="F28" s="75">
        <v>0</v>
      </c>
      <c r="G28" s="103">
        <v>0.463</v>
      </c>
      <c r="H28" s="75">
        <v>0</v>
      </c>
      <c r="I28" s="75">
        <v>0.869</v>
      </c>
      <c r="J28" s="133">
        <f>G28+I28-H28</f>
        <v>1.332</v>
      </c>
    </row>
    <row r="29">
      <c r="B29" t="s" s="138">
        <v>590</v>
      </c>
      <c r="C29" s="129">
        <f>SUM(C9:C22)</f>
        <v>3.35799999999999</v>
      </c>
      <c r="D29" s="129">
        <f>SUM(D9:D22)</f>
        <v>58.004999999999995</v>
      </c>
      <c r="E29" s="129">
        <f>SUM(E9:E22)</f>
        <v>84.602</v>
      </c>
      <c r="F29" s="129">
        <f>SUM(F9:F22)</f>
        <v>74.32099999999996</v>
      </c>
      <c r="G29" s="131">
        <f>SUM(G9:G22)</f>
        <v>175.89600000000002</v>
      </c>
      <c r="H29" s="129">
        <f>SUM(H9:H22)</f>
        <v>24.5</v>
      </c>
      <c r="I29" s="129">
        <f>SUM(I9:I22)</f>
        <v>17.67500000000004</v>
      </c>
      <c r="J29" s="135">
        <f>SUM(J9:J22)</f>
        <v>169.07099999999988</v>
      </c>
      <c r="K29" s="129">
        <f>SUM(K9:K22)</f>
        <v>281.36681311466003</v>
      </c>
      <c r="L29" s="129">
        <f>SUM(L9:L22)</f>
        <v>368.5024772910113</v>
      </c>
      <c r="M29" s="129">
        <f>SUM(M9:M22)</f>
        <v>478.16459945760073</v>
      </c>
      <c r="N29" s="129">
        <f>SUM(N9:N22)</f>
        <v>606.7648670302751</v>
      </c>
      <c r="O29" s="129">
        <f>SUM(O9:O22)</f>
        <v>754.2105940304785</v>
      </c>
    </row>
    <row r="30">
      <c r="J30" s="132"/>
    </row>
    <row r="31">
      <c r="B31" t="s" s="6">
        <v>1336</v>
      </c>
      <c r="C31" s="143"/>
      <c r="D31" s="6"/>
      <c r="E31" s="6"/>
      <c r="F31" s="6"/>
      <c r="G31" s="95"/>
      <c r="H31" s="6"/>
      <c r="I31" s="6"/>
      <c r="J31" s="153"/>
      <c r="K31" s="6"/>
      <c r="L31" s="6"/>
      <c r="M31" s="6"/>
      <c r="N31" s="6"/>
      <c r="O31" s="6"/>
      <c r="P31" s="6"/>
      <c r="Q31" s="6"/>
    </row>
    <row r="32">
      <c r="B32" t="s" s="71">
        <v>191</v>
      </c>
      <c r="C32" s="75">
        <v>-5.025</v>
      </c>
      <c r="D32" s="75">
        <v>-7.758</v>
      </c>
      <c r="E32" s="75">
        <v>-5.624</v>
      </c>
      <c r="F32" s="75">
        <v>-5.259</v>
      </c>
      <c r="G32" s="103">
        <v>-11.554</v>
      </c>
      <c r="H32" s="75">
        <v>-1.468</v>
      </c>
      <c r="I32" s="75">
        <v>-6.44</v>
      </c>
      <c r="J32" s="133">
        <f>G32+I32-H32</f>
        <v>-16.526</v>
      </c>
      <c r="K32" s="79">
        <f>-BS!K71</f>
        <v>-20.67956582720217</v>
      </c>
      <c r="L32" s="79">
        <f>-BS!L71</f>
        <v>-16.499959656485633</v>
      </c>
      <c r="M32" s="79">
        <f>-BS!M71</f>
        <v>-19.470439297597796</v>
      </c>
      <c r="N32" s="79">
        <f>-BS!N71</f>
        <v>-22.965423402964984</v>
      </c>
      <c r="O32" s="79">
        <f>-BS!O71</f>
        <v>-27.105450519579833</v>
      </c>
    </row>
    <row r="33">
      <c r="B33" t="s" s="71">
        <v>156</v>
      </c>
      <c r="E33" s="75">
        <v>0</v>
      </c>
      <c r="F33" s="75">
        <v>0</v>
      </c>
      <c r="G33" s="103">
        <v>-10.239</v>
      </c>
      <c r="J33" s="133">
        <f>G33+I33-H33</f>
        <v>-10.239</v>
      </c>
    </row>
    <row r="34">
      <c r="B34" t="s" s="71">
        <v>591</v>
      </c>
      <c r="D34" s="75">
        <v>-3</v>
      </c>
      <c r="E34" s="75">
        <v>-3.004</v>
      </c>
      <c r="F34" s="75">
        <v>-3.009</v>
      </c>
      <c r="G34" s="103">
        <v>-4.686</v>
      </c>
      <c r="H34" s="75">
        <v>-4.686</v>
      </c>
      <c r="I34" s="75">
        <v>0</v>
      </c>
      <c r="J34" s="133">
        <f>G34+I34-H34</f>
        <v>0</v>
      </c>
    </row>
    <row r="35">
      <c r="B35" t="s" s="71">
        <v>592</v>
      </c>
      <c r="E35" s="75">
        <v>-124.178</v>
      </c>
      <c r="F35" s="75">
        <v>-114.572</v>
      </c>
      <c r="G35" s="103">
        <v>0</v>
      </c>
      <c r="J35" s="133">
        <f>G35+I35-H35</f>
        <v>0</v>
      </c>
    </row>
    <row r="36">
      <c r="B36" t="s" s="71">
        <v>593</v>
      </c>
      <c r="E36" s="75">
        <v>5.95</v>
      </c>
      <c r="F36" s="75">
        <v>0</v>
      </c>
      <c r="G36" s="103">
        <v>89.479</v>
      </c>
      <c r="H36" s="75">
        <v>89.479</v>
      </c>
      <c r="I36" s="75">
        <v>0</v>
      </c>
      <c r="J36" s="133">
        <f>G36+I36-H36</f>
        <v>0</v>
      </c>
    </row>
    <row r="37">
      <c r="B37" t="s" s="71">
        <v>594</v>
      </c>
      <c r="E37" s="75">
        <v>31.801</v>
      </c>
      <c r="F37" s="75">
        <v>107.417</v>
      </c>
      <c r="G37" s="103">
        <v>23.716</v>
      </c>
      <c r="H37" s="75">
        <v>16.2</v>
      </c>
      <c r="J37" s="133">
        <f>G37+I37-H37</f>
        <v>7.516000000000002</v>
      </c>
    </row>
    <row r="38">
      <c r="B38" t="s" s="71">
        <v>595</v>
      </c>
      <c r="D38" s="75">
        <v>-65.793</v>
      </c>
      <c r="E38" s="75">
        <v>0</v>
      </c>
      <c r="F38" s="75">
        <v>-40.121</v>
      </c>
      <c r="G38" s="103">
        <v>-1074.754</v>
      </c>
      <c r="J38" s="133">
        <f>G38+I38-H38</f>
        <v>-1074.754</v>
      </c>
    </row>
    <row r="39">
      <c r="B39" t="s" s="71">
        <v>596</v>
      </c>
      <c r="E39" s="75">
        <v>0</v>
      </c>
      <c r="F39" s="75">
        <v>-0.104</v>
      </c>
      <c r="G39" s="103">
        <v>-0.089</v>
      </c>
      <c r="J39" s="133">
        <f>G39+I39-H39</f>
        <v>-0.089</v>
      </c>
    </row>
    <row r="40">
      <c r="B40" t="s" s="138">
        <v>597</v>
      </c>
      <c r="C40" s="129">
        <f>SUM(C32:C39)</f>
        <v>-5.025</v>
      </c>
      <c r="D40" s="129">
        <f>SUM(D32:D39)</f>
        <v>-76.551</v>
      </c>
      <c r="E40" s="129">
        <f>SUM(E32:E39)</f>
        <v>-95.05499999999998</v>
      </c>
      <c r="F40" s="129">
        <f>SUM(F32:F39)</f>
        <v>-55.648</v>
      </c>
      <c r="G40" s="131">
        <f>SUM(G32:G39)</f>
        <v>-988.127</v>
      </c>
      <c r="H40" s="129">
        <f>SUM(H32:H39)</f>
        <v>99.525</v>
      </c>
      <c r="I40" s="129">
        <f>SUM(I32:I39)</f>
        <v>-6.44</v>
      </c>
      <c r="J40" s="135">
        <f>SUM(J32:J39)</f>
        <v>-1094.0919999999999</v>
      </c>
      <c r="K40" s="129">
        <f>SUM(K32:K39)</f>
        <v>-20.67956582720217</v>
      </c>
      <c r="L40" s="129">
        <f>SUM(L32:L39)</f>
        <v>-16.499959656485633</v>
      </c>
      <c r="M40" s="129">
        <f>SUM(M32:M39)</f>
        <v>-19.470439297597796</v>
      </c>
      <c r="N40" s="129">
        <f>SUM(N32:N39)</f>
        <v>-22.965423402964984</v>
      </c>
      <c r="O40" s="129">
        <f>SUM(O32:O39)</f>
        <v>-27.105450519579833</v>
      </c>
    </row>
    <row r="41">
      <c r="J41" s="132"/>
    </row>
    <row r="42">
      <c r="B42" t="s" s="6">
        <v>1337</v>
      </c>
      <c r="C42" s="143"/>
      <c r="D42" s="6"/>
      <c r="E42" s="6"/>
      <c r="F42" s="6"/>
      <c r="G42" s="95"/>
      <c r="H42" s="6"/>
      <c r="I42" s="6"/>
      <c r="J42" s="153"/>
      <c r="K42" s="6"/>
      <c r="L42" s="6"/>
      <c r="M42" s="6"/>
      <c r="N42" s="6"/>
      <c r="O42" s="6"/>
      <c r="P42" s="6"/>
      <c r="Q42" s="6"/>
    </row>
    <row r="43">
      <c r="B43" t="s" s="71">
        <v>598</v>
      </c>
      <c r="C43" s="75">
        <v>1.56</v>
      </c>
      <c r="G43" s="93"/>
      <c r="J43" s="133">
        <f>G43+I43-H43</f>
        <v>0</v>
      </c>
    </row>
    <row r="44">
      <c r="B44" t="s" s="71">
        <v>599</v>
      </c>
      <c r="C44" s="75">
        <v>2.83</v>
      </c>
      <c r="D44" s="75">
        <v>18.284</v>
      </c>
      <c r="E44" s="75">
        <v>4.738</v>
      </c>
      <c r="F44" s="75">
        <v>0.248</v>
      </c>
      <c r="G44" s="103">
        <v>0.168</v>
      </c>
      <c r="J44" s="133">
        <f>G44+I44-H44</f>
        <v>0.168</v>
      </c>
    </row>
    <row r="45">
      <c r="B45" t="s" s="71">
        <v>600</v>
      </c>
      <c r="C45" s="75">
        <v>-2.185</v>
      </c>
      <c r="D45" s="75">
        <v>-3.189</v>
      </c>
      <c r="E45" s="75">
        <v>-20.784</v>
      </c>
      <c r="F45" s="75">
        <v>-55.301</v>
      </c>
      <c r="G45" s="103">
        <v>-33.749</v>
      </c>
      <c r="H45" s="75">
        <v>-24.402</v>
      </c>
      <c r="I45" s="75">
        <v>-2.248</v>
      </c>
      <c r="J45" s="133">
        <f>G45+I45-H45</f>
        <v>-11.594999999999999</v>
      </c>
    </row>
    <row r="46">
      <c r="B46" t="s" s="71">
        <v>601</v>
      </c>
      <c r="C46" s="75">
        <v>-0.626</v>
      </c>
      <c r="E46" s="75">
        <v>0</v>
      </c>
      <c r="F46" s="75">
        <v>0</v>
      </c>
      <c r="G46" s="103">
        <v>-18.054</v>
      </c>
      <c r="J46" s="133">
        <f>G46+I46-H46</f>
        <v>-18.054</v>
      </c>
      <c r="K46" s="79">
        <f>-Assumptions!D180</f>
        <v>0</v>
      </c>
      <c r="L46" s="79">
        <f>-Assumptions!E180</f>
        <v>0</v>
      </c>
      <c r="M46" s="79">
        <f>-Assumptions!F180</f>
        <v>0</v>
      </c>
      <c r="N46" s="79">
        <f>-Assumptions!G180</f>
        <v>0</v>
      </c>
      <c r="O46" s="79">
        <f>-Assumptions!H180</f>
        <v>0</v>
      </c>
    </row>
    <row r="47">
      <c r="B47" t="s" s="71">
        <v>602</v>
      </c>
      <c r="D47" s="75">
        <v>4.215</v>
      </c>
      <c r="E47" s="75">
        <v>4.588</v>
      </c>
      <c r="F47" s="75">
        <v>4.693</v>
      </c>
      <c r="G47" s="103">
        <v>6.636</v>
      </c>
      <c r="J47" s="133">
        <f>G47+I47-H47</f>
        <v>6.636</v>
      </c>
    </row>
    <row r="48">
      <c r="B48" t="s" s="71">
        <v>603</v>
      </c>
      <c r="C48" s="75">
        <v>55</v>
      </c>
      <c r="E48" s="75">
        <v>0</v>
      </c>
      <c r="F48" s="75">
        <v>0</v>
      </c>
      <c r="G48" s="103">
        <v>924.475</v>
      </c>
      <c r="J48" s="133">
        <f>G48+I48-H48</f>
        <v>924.475</v>
      </c>
    </row>
    <row r="49">
      <c r="B49" t="s" s="71">
        <v>168</v>
      </c>
      <c r="C49" s="75">
        <v>-434.919</v>
      </c>
      <c r="D49" s="75">
        <v>-2.75</v>
      </c>
      <c r="E49" s="75">
        <v>-2.749</v>
      </c>
      <c r="F49" s="75">
        <v>-2.75</v>
      </c>
      <c r="G49" s="103">
        <v>-154.063</v>
      </c>
      <c r="H49" s="75">
        <v>-0.688</v>
      </c>
      <c r="I49" s="75">
        <v>-17</v>
      </c>
      <c r="J49" s="133">
        <f>G49+I49-H49</f>
        <v>-170.375</v>
      </c>
      <c r="K49" s="79">
        <f>-BS!K82</f>
        <v>-8</v>
      </c>
      <c r="L49" s="79">
        <f>-BS!L82</f>
        <v>-8</v>
      </c>
      <c r="M49" s="79">
        <f>-BS!M82</f>
        <v>-8</v>
      </c>
      <c r="N49" s="79">
        <f>-BS!N82</f>
        <v>-8</v>
      </c>
      <c r="O49" s="79">
        <f>-BS!O82</f>
        <v>-52</v>
      </c>
    </row>
    <row r="50">
      <c r="B50" t="s" s="71">
        <v>604</v>
      </c>
      <c r="C50" s="75">
        <v>-1.4</v>
      </c>
      <c r="G50" s="93"/>
      <c r="H50" s="75">
        <v>-2.159</v>
      </c>
      <c r="I50" s="75">
        <v>0</v>
      </c>
      <c r="J50" s="133">
        <f>G50+I50-H50</f>
        <v>2.159</v>
      </c>
    </row>
    <row r="51">
      <c r="B51" t="s" s="71">
        <v>605</v>
      </c>
      <c r="C51" s="75">
        <v>-2.029</v>
      </c>
      <c r="G51" s="93"/>
      <c r="J51" s="133">
        <f>G51+I51-H51</f>
        <v>0</v>
      </c>
    </row>
    <row r="52">
      <c r="B52" t="s" s="71">
        <v>606</v>
      </c>
      <c r="C52" s="75">
        <v>582.188</v>
      </c>
      <c r="G52" s="93"/>
      <c r="J52" s="133">
        <f>G52+I52-H52</f>
        <v>0</v>
      </c>
    </row>
    <row r="53">
      <c r="B53" t="s" s="71">
        <v>607</v>
      </c>
      <c r="C53" s="75">
        <v>-5.131</v>
      </c>
      <c r="D53" s="75">
        <v>-0.214</v>
      </c>
      <c r="G53" s="93"/>
      <c r="J53" s="133">
        <f>G53+I53-H53</f>
        <v>0</v>
      </c>
    </row>
    <row r="54">
      <c r="B54" t="s" s="71">
        <v>608</v>
      </c>
      <c r="D54" s="75">
        <v>-0.117</v>
      </c>
      <c r="E54" s="75">
        <v>-2.184</v>
      </c>
      <c r="F54" s="75">
        <v>-3.873</v>
      </c>
      <c r="G54" s="103">
        <v>0</v>
      </c>
      <c r="J54" s="133">
        <f>G54+I54-H54</f>
        <v>0</v>
      </c>
    </row>
    <row r="55">
      <c r="B55" t="s" s="71">
        <v>609</v>
      </c>
      <c r="E55" s="75">
        <v>-2.9</v>
      </c>
      <c r="F55" s="75">
        <v>-4.685</v>
      </c>
      <c r="G55" s="103">
        <v>0</v>
      </c>
      <c r="J55" s="133">
        <f>G55+I55-H55</f>
        <v>0</v>
      </c>
    </row>
    <row r="56">
      <c r="B56" t="s" s="138">
        <v>610</v>
      </c>
      <c r="C56" s="129">
        <f>SUM(C43:C55)</f>
        <v>195.28800000000004</v>
      </c>
      <c r="D56" s="129">
        <f>SUM(D43:D55)</f>
        <v>16.229</v>
      </c>
      <c r="E56" s="129">
        <f>SUM(E43:E55)</f>
        <v>-19.290999999999997</v>
      </c>
      <c r="F56" s="129">
        <f>SUM(F43:F55)</f>
        <v>-61.668000000000006</v>
      </c>
      <c r="G56" s="131">
        <f>SUM(G43:G55)</f>
        <v>725.413</v>
      </c>
      <c r="H56" s="129">
        <f>SUM(H43:H55)</f>
        <v>-27.249</v>
      </c>
      <c r="I56" s="129">
        <f>SUM(I43:I55)</f>
        <v>-19.248</v>
      </c>
      <c r="J56" s="135">
        <f>SUM(J43:J55)</f>
        <v>733.414</v>
      </c>
      <c r="K56" s="129">
        <f>SUM(K43:K55)</f>
        <v>-8</v>
      </c>
      <c r="L56" s="129">
        <f>SUM(L43:L55)</f>
        <v>-8</v>
      </c>
      <c r="M56" s="129">
        <f>SUM(M43:M55)</f>
        <v>-8</v>
      </c>
      <c r="N56" s="129">
        <f>SUM(N43:N55)</f>
        <v>-8</v>
      </c>
      <c r="O56" s="129">
        <f>SUM(O43:O55)</f>
        <v>-52</v>
      </c>
    </row>
    <row r="57">
      <c r="B57" t="s" s="71">
        <v>611</v>
      </c>
      <c r="C57" s="75">
        <v>-0.112</v>
      </c>
      <c r="D57" s="75">
        <v>-1.556</v>
      </c>
      <c r="E57" s="75">
        <v>0.785</v>
      </c>
      <c r="F57" s="75">
        <v>-1.42</v>
      </c>
      <c r="G57" s="103">
        <v>0.713</v>
      </c>
      <c r="H57" s="75">
        <v>1.033</v>
      </c>
      <c r="I57" s="75">
        <v>-1.725</v>
      </c>
      <c r="J57" s="133">
        <f>G57+I57-H57</f>
        <v>-2.045</v>
      </c>
    </row>
    <row r="58">
      <c r="B58" t="s" s="138">
        <v>175</v>
      </c>
      <c r="C58" s="129">
        <f>C29+C40+C56+C57</f>
        <v>193.50900000000004</v>
      </c>
      <c r="D58" s="129">
        <f>D29+D40+D56+D57</f>
        <v>-3.8730000000000073</v>
      </c>
      <c r="E58" s="129">
        <f>E29+E40+E56+E57</f>
        <v>-28.95899999999997</v>
      </c>
      <c r="F58" s="129">
        <f>F29+F40+F56+F57</f>
        <v>-44.415000000000056</v>
      </c>
      <c r="G58" s="131">
        <f>G29+G40+G56+G57</f>
        <v>-86.10499999999999</v>
      </c>
      <c r="H58" s="129">
        <f>H29+H40+H56+H57</f>
        <v>97.80900000000001</v>
      </c>
      <c r="I58" s="129">
        <f>I29+I40+I56+I57</f>
        <v>-9.737999999999962</v>
      </c>
      <c r="J58" s="135">
        <f>J29+J40+J56+J57</f>
        <v>-193.65199999999996</v>
      </c>
      <c r="K58" s="129">
        <f>K29+K40+K56+K57</f>
        <v>252.68724728745786</v>
      </c>
      <c r="L58" s="129">
        <f>L29+L40+L56+L57</f>
        <v>344.00251763452565</v>
      </c>
      <c r="M58" s="129">
        <f>M29+M40+M56+M57</f>
        <v>450.6941601600029</v>
      </c>
      <c r="N58" s="129">
        <f>N29+N40+N56+N57</f>
        <v>575.7994436273101</v>
      </c>
      <c r="O58" s="129">
        <f>O29+O40+O56+O57</f>
        <v>675.1051435108988</v>
      </c>
    </row>
    <row r="59">
      <c r="B59" t="s" s="71">
        <v>612</v>
      </c>
      <c r="C59" s="75">
        <v>61.088</v>
      </c>
      <c r="D59" s="74">
        <f>C60</f>
        <v>254.597</v>
      </c>
      <c r="E59" s="74">
        <f>D60</f>
        <v>250.724</v>
      </c>
      <c r="F59" s="74">
        <f>E60</f>
        <v>221.765</v>
      </c>
      <c r="G59" s="106">
        <f>F60</f>
        <v>177.35</v>
      </c>
      <c r="H59" s="75">
        <v>177.35</v>
      </c>
      <c r="I59" s="75">
        <v>91.245</v>
      </c>
      <c r="J59" s="133">
        <f>H60</f>
        <v>275.159</v>
      </c>
      <c r="K59" s="79">
        <f>BS!G9</f>
        <v>91.245</v>
      </c>
      <c r="L59" s="79">
        <f>BS!K9</f>
        <v>343.93224728745446</v>
      </c>
      <c r="M59" s="79">
        <f>BS!L9</f>
        <v>687.9347649220754</v>
      </c>
      <c r="N59" s="79">
        <f>BS!M9</f>
        <v>1138.6289250817802</v>
      </c>
      <c r="O59" s="79">
        <f>BS!N9</f>
        <v>1714.4283686946187</v>
      </c>
    </row>
    <row r="60">
      <c r="B60" t="s" s="80">
        <v>1435</v>
      </c>
      <c r="C60" s="130">
        <f>BS!C9</f>
        <v>254.597</v>
      </c>
      <c r="D60" s="130">
        <f>BS!D9</f>
        <v>250.724</v>
      </c>
      <c r="E60" s="130">
        <f>BS!E9</f>
        <v>221.765</v>
      </c>
      <c r="F60" s="130">
        <f>BS!F9</f>
        <v>177.35</v>
      </c>
      <c r="G60" s="183">
        <f>BS!G9</f>
        <v>91.245</v>
      </c>
      <c r="H60" s="129">
        <f>H59+H58</f>
        <v>275.159</v>
      </c>
      <c r="I60" s="130">
        <f>BS!I9</f>
        <v>81.507</v>
      </c>
      <c r="J60" s="184">
        <f>BS!J9</f>
        <v>81.507</v>
      </c>
      <c r="K60" s="129">
        <f>K59+K58</f>
        <v>343.93224728745787</v>
      </c>
      <c r="L60" s="129">
        <f>L59+L58</f>
        <v>687.9347649219801</v>
      </c>
      <c r="M60" s="129">
        <f>M59+M58</f>
        <v>1138.6289250820782</v>
      </c>
      <c r="N60" s="129">
        <f>N59+N58</f>
        <v>1714.4283687090901</v>
      </c>
      <c r="O60" s="129">
        <f>O59+O58</f>
        <v>2389.5335122055176</v>
      </c>
    </row>
    <row r="61">
      <c r="J61" s="132"/>
    </row>
    <row r="62">
      <c r="B62" t="s" s="6">
        <v>1338</v>
      </c>
      <c r="C62" s="143"/>
      <c r="D62" s="6"/>
      <c r="E62" s="6"/>
      <c r="F62" s="6"/>
      <c r="G62" s="95"/>
      <c r="H62" s="6"/>
      <c r="I62" s="6"/>
      <c r="J62" s="153"/>
      <c r="K62" s="6"/>
      <c r="L62" s="6"/>
      <c r="M62" s="6"/>
      <c r="N62" s="6"/>
      <c r="O62" s="6"/>
      <c r="P62" s="6"/>
      <c r="Q62" s="6"/>
    </row>
    <row r="63">
      <c r="B63" t="s" s="138">
        <v>616</v>
      </c>
      <c r="C63" s="129">
        <f>C29+C32</f>
        <v>-1.6670000000000105</v>
      </c>
      <c r="D63" s="129">
        <f>D29+D32</f>
        <v>50.24699999999999</v>
      </c>
      <c r="E63" s="129">
        <f>E29+E32</f>
        <v>78.97800000000001</v>
      </c>
      <c r="F63" s="129">
        <f>F29+F32</f>
        <v>69.06199999999995</v>
      </c>
      <c r="G63" s="131">
        <f>G29+G32</f>
        <v>164.342</v>
      </c>
      <c r="H63" s="129">
        <f>H29+H32</f>
        <v>23.032</v>
      </c>
      <c r="I63" s="129">
        <f>I29+I32</f>
        <v>11.235000000000039</v>
      </c>
      <c r="J63" s="135">
        <f>J29+J32</f>
        <v>152.54499999999987</v>
      </c>
      <c r="K63" s="129">
        <f>K29+K32</f>
        <v>260.68724728745786</v>
      </c>
      <c r="L63" s="129">
        <f>L29+L32</f>
        <v>352.00251763452565</v>
      </c>
      <c r="M63" s="129">
        <f>M29+M32</f>
        <v>458.6941601600029</v>
      </c>
      <c r="N63" s="129">
        <f>N29+N32</f>
        <v>583.7994436273101</v>
      </c>
      <c r="O63" s="129">
        <f>O29+O32</f>
        <v>727.1051435108988</v>
      </c>
      <c r="P63" t="str" s="120">
        <f>IFERROR((G63/C63)^(1/(YEAR(IS!$G$10)-YEAR(IS!$C$10)))-1,"n.m.")</f>
        <v>n.m.</v>
      </c>
      <c r="Q63" s="120">
        <f>(O63/G63)^(1/(YEAR(IS!$O$10)-YEAR(IS!$G$10)))-1</f>
        <v>0.34638644231723825</v>
      </c>
    </row>
    <row r="64">
      <c r="B64" t="s" s="139">
        <v>184</v>
      </c>
      <c r="C64" s="109">
        <f>C63/IS!C33</f>
        <v>-0.0066145019085635795</v>
      </c>
      <c r="D64" s="109">
        <f>D63/IS!D33</f>
        <v>0.16559886100729665</v>
      </c>
      <c r="E64" s="109">
        <f>E63/IS!E33</f>
        <v>0.21451619912648576</v>
      </c>
      <c r="F64" s="109">
        <f>F63/IS!F33</f>
        <v>0.15285865742370006</v>
      </c>
      <c r="G64" s="110">
        <f>G63/IS!G33</f>
        <v>0.22470493650255413</v>
      </c>
      <c r="H64" s="109">
        <f>H63/IS!H33</f>
        <v>0.18154874511287677</v>
      </c>
      <c r="I64" s="109">
        <f>I63/IS!I33</f>
        <v>0.05078471079610193</v>
      </c>
      <c r="J64" s="150">
        <f>J63/IS!J33</f>
        <v>0.18473911632345588</v>
      </c>
      <c r="K64" s="109">
        <f>K63/IS!K33</f>
        <v>0.27733268136510014</v>
      </c>
      <c r="L64" s="109">
        <f>L63/IS!L33</f>
        <v>0.3200030711858415</v>
      </c>
      <c r="M64" s="109">
        <f>M63/IS!M33</f>
        <v>0.3533773582216467</v>
      </c>
      <c r="N64" s="109">
        <f>N63/IS!N33</f>
        <v>0.38131200547685384</v>
      </c>
      <c r="O64" s="109">
        <f>O63/IS!O33</f>
        <v>0.40237579319277617</v>
      </c>
    </row>
    <row r="65">
      <c r="B65" t="s" s="139">
        <v>617</v>
      </c>
      <c r="C65" s="109">
        <f>C63/IS!C68</f>
        <v>-0.022937420881721772</v>
      </c>
      <c r="D65" s="109">
        <f>D63/IS!D68</f>
        <v>0.6192935318477618</v>
      </c>
      <c r="E65" s="109">
        <f>E63/IS!E68</f>
        <v>0.7457438270147777</v>
      </c>
      <c r="F65" s="109">
        <f>F63/IS!F68</f>
        <v>0.47408597278855485</v>
      </c>
      <c r="G65" s="110">
        <f>G63/IS!G68</f>
        <v>0.6621620532656431</v>
      </c>
      <c r="H65" s="109">
        <f>H63/IS!H68</f>
        <v>0.511027290880852</v>
      </c>
      <c r="I65" s="109">
        <f>I63/IS!I68</f>
        <v>0.14510816919599656</v>
      </c>
      <c r="J65" s="150">
        <f>J63/IS!J68</f>
        <v>0.5437452102158297</v>
      </c>
      <c r="K65" s="109">
        <f>K63/IS!K68</f>
        <v>0.7704047028240703</v>
      </c>
      <c r="L65" s="109">
        <f>L63/IS!L68</f>
        <v>0.8421004145201719</v>
      </c>
      <c r="M65" s="109">
        <f>M63/IS!M68</f>
        <v>0.8856260661658627</v>
      </c>
      <c r="N65" s="109">
        <f>N63/IS!N68</f>
        <v>0.921022309773132</v>
      </c>
      <c r="O65" s="109">
        <f>O63/IS!O68</f>
        <v>0.9534828637654749</v>
      </c>
    </row>
    <row r="66">
      <c r="B66" t="s" s="71">
        <v>619</v>
      </c>
      <c r="C66" s="75">
        <v>26.113</v>
      </c>
      <c r="D66" s="75">
        <v>1.395</v>
      </c>
      <c r="E66" s="75">
        <v>3.454</v>
      </c>
      <c r="F66" s="75">
        <v>3.464</v>
      </c>
      <c r="G66" s="103">
        <v>31.142</v>
      </c>
      <c r="H66" s="75">
        <v>1.282</v>
      </c>
      <c r="I66" s="75">
        <v>21.708</v>
      </c>
      <c r="J66" s="133">
        <f>G66+I66-H66</f>
        <v>51.568</v>
      </c>
    </row>
    <row r="67">
      <c r="B67" t="s" s="71">
        <v>620</v>
      </c>
      <c r="C67" s="75">
        <v>0.802</v>
      </c>
      <c r="D67" s="75">
        <v>2.044</v>
      </c>
      <c r="E67" s="75">
        <v>2.432</v>
      </c>
      <c r="F67" s="75">
        <v>1.979</v>
      </c>
      <c r="G67" s="103">
        <v>3.486</v>
      </c>
      <c r="H67" s="75">
        <v>0.583</v>
      </c>
      <c r="I67" s="75">
        <v>1.154</v>
      </c>
      <c r="J67" s="133">
        <f>G67+I67-H67</f>
        <v>4.057</v>
      </c>
    </row>
    <row r="68">
      <c r="B68" t="s">
        <v>685</v>
      </c>
      <c r="E68" s="75">
        <v>86</v>
      </c>
      <c r="F68" s="75">
        <v>142</v>
      </c>
      <c r="G68" s="93"/>
      <c r="J68" s="132"/>
      <c r="K68" s="84">
        <f>K$89</f>
        <v>172.99487958899547</v>
      </c>
      <c r="L68" s="84">
        <f>L$89</f>
        <v>252.51704440255955</v>
      </c>
      <c r="M68" s="84">
        <f>M$89</f>
        <v>343.65345004997334</v>
      </c>
      <c r="N68" s="84">
        <f>N$89</f>
        <v>448.7993550439787</v>
      </c>
      <c r="O68" s="84">
        <f>O$89</f>
        <v>566.6278678048274</v>
      </c>
    </row>
    <row r="69">
      <c r="B69" t="s" s="139">
        <v>184</v>
      </c>
      <c r="C69" s="4"/>
      <c r="D69" s="4"/>
      <c r="E69" s="109">
        <f>E68/IS!E33</f>
        <v>0.23358901371113186</v>
      </c>
      <c r="F69" s="109">
        <f>F68/IS!F33</f>
        <v>0.3142962751464687</v>
      </c>
      <c r="G69" s="102"/>
      <c r="H69" s="99"/>
      <c r="I69" s="99"/>
      <c r="J69" s="136"/>
      <c r="K69" s="109">
        <f>K68/IS!K33</f>
        <v>0.18404096985206464</v>
      </c>
      <c r="L69" s="109">
        <f>L68/IS!L33</f>
        <v>0.2295615107488788</v>
      </c>
      <c r="M69" s="109">
        <f>M68/IS!M33</f>
        <v>0.26475015134278884</v>
      </c>
      <c r="N69" s="109">
        <f>N68/IS!N33</f>
        <v>0.29313591165014347</v>
      </c>
      <c r="O69" s="109">
        <f>O68/IS!O33</f>
        <v>0.31356859429186723</v>
      </c>
    </row>
    <row r="70">
      <c r="B70" t="s" s="139">
        <v>686</v>
      </c>
      <c r="C70" s="4"/>
      <c r="D70" s="4"/>
      <c r="E70" s="109">
        <f>E68/IS!E68</f>
        <v>0.8120485340635477</v>
      </c>
      <c r="F70" s="109">
        <f>F68/IS!F68</f>
        <v>0.9747793017285169</v>
      </c>
      <c r="G70" s="102"/>
      <c r="H70" s="99"/>
      <c r="I70" s="99"/>
      <c r="J70" s="136"/>
      <c r="K70" s="109">
        <f>K68/IS!K68</f>
        <v>0.5112489014580884</v>
      </c>
      <c r="L70" s="109">
        <f>L68/IS!L68</f>
        <v>0.6040999626757986</v>
      </c>
      <c r="M70" s="109">
        <f>M68/IS!M68</f>
        <v>0.6635106341574548</v>
      </c>
      <c r="N70" s="109">
        <f>N68/IS!N68</f>
        <v>0.7080414740360341</v>
      </c>
      <c r="O70" s="109">
        <f>O68/IS!O68</f>
        <v>0.7430424153996835</v>
      </c>
    </row>
    <row r="71">
      <c r="J71" s="132"/>
    </row>
    <row r="72">
      <c r="B72" t="s" s="6">
        <v>1465</v>
      </c>
      <c r="C72" s="143"/>
      <c r="D72" s="6"/>
      <c r="E72" s="6"/>
      <c r="F72" s="6"/>
      <c r="G72" s="95"/>
      <c r="H72" s="6"/>
      <c r="I72" s="6"/>
      <c r="J72" s="153"/>
      <c r="K72" t="s" s="6">
        <v>647</v>
      </c>
      <c r="L72" s="6"/>
      <c r="M72" s="6"/>
      <c r="N72" s="6"/>
      <c r="O72" s="6"/>
      <c r="P72" s="6"/>
      <c r="Q72" s="6"/>
    </row>
    <row r="73">
      <c r="C73" s="87"/>
      <c r="D73" s="87"/>
      <c r="E73" s="87"/>
      <c r="F73" s="87"/>
      <c r="G73" s="89">
        <f>DATE(2025,12,31)</f>
        <v>46022</v>
      </c>
      <c r="H73" s="100"/>
      <c r="I73" s="100"/>
      <c r="J73" s="149"/>
      <c r="K73" s="88">
        <f>EDATE(G73,12)</f>
        <v>46387</v>
      </c>
      <c r="L73" s="88">
        <f>EDATE(K73,12)</f>
        <v>46752</v>
      </c>
      <c r="M73" s="88">
        <f>EDATE(L73,12)</f>
        <v>47118</v>
      </c>
      <c r="N73" s="88">
        <f>EDATE(M73,12)</f>
        <v>47483</v>
      </c>
      <c r="O73" s="88">
        <f>EDATE(N73,12)</f>
        <v>47848</v>
      </c>
      <c r="P73" s="88">
        <f>EDATE(O73,12)</f>
        <v>48213</v>
      </c>
      <c r="Q73" s="88">
        <f>EDATE(P73,12)</f>
        <v>48579</v>
      </c>
    </row>
    <row r="74">
      <c r="G74" s="93"/>
      <c r="J74" s="132"/>
    </row>
    <row r="75">
      <c r="B75" t="s" s="143">
        <v>721</v>
      </c>
      <c r="C75" s="143"/>
      <c r="D75" s="6"/>
      <c r="E75" s="6"/>
      <c r="F75" s="6"/>
      <c r="G75" s="95"/>
      <c r="H75" s="6"/>
      <c r="I75" s="6"/>
      <c r="J75" s="153"/>
      <c r="K75" s="6"/>
      <c r="L75" s="6"/>
      <c r="M75" s="6"/>
      <c r="N75" s="6"/>
      <c r="O75" s="6"/>
      <c r="P75" s="6"/>
      <c r="Q75" s="6"/>
    </row>
    <row r="76">
      <c r="B76" t="s" s="71">
        <v>722</v>
      </c>
      <c r="G76" s="93"/>
      <c r="J76" s="132"/>
      <c r="K76" s="79">
        <f>IS!K68</f>
        <v>338.37701967791395</v>
      </c>
      <c r="L76" s="79">
        <f>IS!L68</f>
        <v>418.0053964646204</v>
      </c>
      <c r="M76" s="79">
        <f>IS!M68</f>
        <v>517.9320908493871</v>
      </c>
      <c r="N76" s="79">
        <f>IS!N68</f>
        <v>633.8602631364192</v>
      </c>
      <c r="O76" s="79">
        <f>IS!O68</f>
        <v>762.5780925306094</v>
      </c>
    </row>
    <row r="77">
      <c r="B77" t="s" s="141">
        <v>542</v>
      </c>
      <c r="G77" s="93"/>
      <c r="J77" s="132"/>
      <c r="K77" s="79">
        <f>IS!K58</f>
        <v>-127</v>
      </c>
      <c r="L77" s="79">
        <f>IS!L58</f>
        <v>-127</v>
      </c>
      <c r="M77" s="79">
        <f>IS!M58</f>
        <v>-127</v>
      </c>
      <c r="N77" s="79">
        <f>IS!N58</f>
        <v>-127</v>
      </c>
      <c r="O77" s="79">
        <f>IS!O58</f>
        <v>-127</v>
      </c>
    </row>
    <row r="78">
      <c r="B78" t="s" s="141">
        <v>663</v>
      </c>
      <c r="G78" s="93"/>
      <c r="J78" s="132"/>
      <c r="K78" s="79">
        <f>IS!K59</f>
        <v>-13.317640392718197</v>
      </c>
      <c r="L78" s="79">
        <f>IS!L59</f>
        <v>-11.236472526066716</v>
      </c>
      <c r="M78" s="79">
        <f>IS!M59</f>
        <v>-13.979775415675217</v>
      </c>
      <c r="N78" s="79">
        <f>IS!N59</f>
        <v>-17.36186009264153</v>
      </c>
      <c r="O78" s="79">
        <f>IS!O59</f>
        <v>-21.49462226202681</v>
      </c>
    </row>
    <row r="79">
      <c r="B79" t="s" s="138">
        <v>664</v>
      </c>
      <c r="C79" s="157"/>
      <c r="D79" s="157"/>
      <c r="E79" s="157"/>
      <c r="F79" s="157"/>
      <c r="G79" s="160"/>
      <c r="H79" s="157"/>
      <c r="I79" s="157"/>
      <c r="J79" s="158"/>
      <c r="K79" s="129">
        <f>SUM(K76:K78)</f>
        <v>198.05937928519575</v>
      </c>
      <c r="L79" s="129">
        <f>SUM(L76:L78)</f>
        <v>279.76892393855366</v>
      </c>
      <c r="M79" s="129">
        <f>SUM(M76:M78)</f>
        <v>376.95231543371193</v>
      </c>
      <c r="N79" s="129">
        <f>SUM(N76:N78)</f>
        <v>489.4984030437777</v>
      </c>
      <c r="O79" s="129">
        <f>SUM(O76:O78)</f>
        <v>614.0834702685826</v>
      </c>
      <c r="P79" s="80"/>
      <c r="Q79" s="80"/>
    </row>
    <row r="80">
      <c r="B80" t="s" s="141">
        <v>723</v>
      </c>
      <c r="G80" s="93"/>
      <c r="J80" s="132"/>
      <c r="K80" s="79">
        <f>-MAX(0,K79)*Assumptions!D132</f>
        <v>-49.51484482129894</v>
      </c>
      <c r="L80" s="79">
        <f>-MAX(0,L79)*Assumptions!E132</f>
        <v>-69.94223098463841</v>
      </c>
      <c r="M80" s="79">
        <f>-MAX(0,M79)*Assumptions!F132</f>
        <v>-94.23807885842798</v>
      </c>
      <c r="N80" s="79">
        <f>-MAX(0,N79)*Assumptions!G132</f>
        <v>-122.37460076094443</v>
      </c>
      <c r="O80" s="79">
        <f>-MAX(0,O79)*Assumptions!H132</f>
        <v>-153.52086756714564</v>
      </c>
    </row>
    <row r="81">
      <c r="B81" t="s" s="141">
        <v>724</v>
      </c>
      <c r="G81" s="93"/>
      <c r="J81" s="132"/>
      <c r="K81" s="79">
        <f>MIN(K91,MAX(0,K79)*Assumptions!D138*Assumptions!D132)</f>
        <v>39.61187585703915</v>
      </c>
      <c r="L81" s="79">
        <f>MIN(L91,MAX(0,L79)*Assumptions!E138*Assumptions!E132)</f>
        <v>55.95378478771073</v>
      </c>
      <c r="M81" s="79">
        <f>MIN(M91,MAX(0,M79)*Assumptions!F138*Assumptions!F132)</f>
        <v>75.39046308674239</v>
      </c>
      <c r="N81" s="79">
        <f>MIN(N91,MAX(0,N79)*Assumptions!G138*Assumptions!G132)</f>
        <v>97.89968060875555</v>
      </c>
      <c r="O81" s="79">
        <f>MIN(O91,MAX(0,O79)*Assumptions!H138*Assumptions!H132)</f>
        <v>122.81669405371652</v>
      </c>
    </row>
    <row r="82">
      <c r="B82" t="s" s="71">
        <v>725</v>
      </c>
      <c r="G82" s="93"/>
      <c r="J82" s="132"/>
      <c r="K82" s="74">
        <f>K80+K81</f>
        <v>-9.902968964259784</v>
      </c>
      <c r="L82" s="74">
        <f>L80+L81</f>
        <v>-13.988446196927683</v>
      </c>
      <c r="M82" s="74">
        <f>M80+M81</f>
        <v>-18.847615771685597</v>
      </c>
      <c r="N82" s="74">
        <f>N80+N81</f>
        <v>-24.474920152188886</v>
      </c>
      <c r="O82" s="74">
        <f>O80+O81</f>
        <v>-30.704173513429126</v>
      </c>
    </row>
    <row r="83">
      <c r="B83" t="s" s="141">
        <v>726</v>
      </c>
      <c r="G83" s="93"/>
      <c r="J83" s="132"/>
      <c r="K83" s="79">
        <f>-Assumptions!D144</f>
        <v>-2</v>
      </c>
      <c r="L83" s="79">
        <f>-Assumptions!E144</f>
        <v>-2</v>
      </c>
      <c r="M83" s="79">
        <f>-Assumptions!F144</f>
        <v>-2</v>
      </c>
      <c r="N83" s="79">
        <f>-Assumptions!G144</f>
        <v>-2</v>
      </c>
      <c r="O83" s="79">
        <f>-Assumptions!H144</f>
        <v>-2</v>
      </c>
    </row>
    <row r="84">
      <c r="B84" t="s" s="138">
        <v>310</v>
      </c>
      <c r="C84" s="157"/>
      <c r="D84" s="157"/>
      <c r="E84" s="157"/>
      <c r="F84" s="157"/>
      <c r="G84" s="160"/>
      <c r="H84" s="157"/>
      <c r="I84" s="157"/>
      <c r="J84" s="158"/>
      <c r="K84" s="129">
        <f>K79+K82+K83</f>
        <v>186.15641032093595</v>
      </c>
      <c r="L84" s="129">
        <f>L79+L82+L83</f>
        <v>263.780477741626</v>
      </c>
      <c r="M84" s="129">
        <f>M79+M82+M83</f>
        <v>356.10469966202635</v>
      </c>
      <c r="N84" s="129">
        <f>N79+N82+N83</f>
        <v>463.02348289158886</v>
      </c>
      <c r="O84" s="129">
        <f>O79+O82+O83</f>
        <v>581.3792967551534</v>
      </c>
      <c r="P84" s="80"/>
      <c r="Q84" s="80"/>
    </row>
    <row r="85">
      <c r="B85" t="s" s="141">
        <v>727</v>
      </c>
      <c r="G85" s="93"/>
      <c r="J85" s="132"/>
      <c r="K85" s="74">
        <f>-K78</f>
        <v>13.317640392718197</v>
      </c>
      <c r="L85" s="74">
        <f>-L78</f>
        <v>11.236472526066716</v>
      </c>
      <c r="M85" s="74">
        <f>-M78</f>
        <v>13.979775415675217</v>
      </c>
      <c r="N85" s="74">
        <f>-N78</f>
        <v>17.36186009264153</v>
      </c>
      <c r="O85" s="74">
        <f>-O78</f>
        <v>21.49462226202681</v>
      </c>
    </row>
    <row r="86">
      <c r="B86" t="s" s="141">
        <v>677</v>
      </c>
      <c r="G86" s="93"/>
      <c r="J86" s="132"/>
      <c r="K86" s="79">
        <f>BS!K66</f>
        <v>13</v>
      </c>
      <c r="L86" s="79">
        <f>BS!L66</f>
        <v>16</v>
      </c>
      <c r="M86" s="79">
        <f>BS!M66</f>
        <v>19</v>
      </c>
      <c r="N86" s="79">
        <f>BS!N66</f>
        <v>22</v>
      </c>
      <c r="O86" s="79">
        <f>BS!O66</f>
        <v>27</v>
      </c>
    </row>
    <row r="87">
      <c r="B87" t="s" s="141">
        <v>728</v>
      </c>
      <c r="G87" s="93"/>
      <c r="J87" s="132"/>
      <c r="K87" s="74">
        <f>K32</f>
        <v>-20.67956582720217</v>
      </c>
      <c r="L87" s="74">
        <f>L32</f>
        <v>-16.499959656485633</v>
      </c>
      <c r="M87" s="74">
        <f>M32</f>
        <v>-19.470439297597796</v>
      </c>
      <c r="N87" s="74">
        <f>N32</f>
        <v>-22.965423402964984</v>
      </c>
      <c r="O87" s="74">
        <f>O32</f>
        <v>-27.105450519579833</v>
      </c>
    </row>
    <row r="88">
      <c r="B88" t="s" s="141">
        <v>729</v>
      </c>
      <c r="G88" s="93"/>
      <c r="J88" s="132"/>
      <c r="K88" s="79">
        <f>-BS!K57</f>
        <v>-18.799605297456516</v>
      </c>
      <c r="L88" s="79">
        <f>-BS!L57</f>
        <v>-21.99994620864751</v>
      </c>
      <c r="M88" s="79">
        <f>-BS!M57</f>
        <v>-25.960585730130397</v>
      </c>
      <c r="N88" s="79">
        <f>-BS!N57</f>
        <v>-30.620564537286647</v>
      </c>
      <c r="O88" s="79">
        <f>-BS!O57</f>
        <v>-36.14060069277311</v>
      </c>
    </row>
    <row r="89">
      <c r="B89" t="s" s="138">
        <v>730</v>
      </c>
      <c r="C89" s="157"/>
      <c r="D89" s="157"/>
      <c r="E89" s="157"/>
      <c r="F89" s="157"/>
      <c r="G89" s="160"/>
      <c r="H89" s="157"/>
      <c r="I89" s="157"/>
      <c r="J89" s="158"/>
      <c r="K89" s="129">
        <f>SUM(K84:K88)</f>
        <v>172.99487958899547</v>
      </c>
      <c r="L89" s="129">
        <f>SUM(L84:L88)</f>
        <v>252.51704440255955</v>
      </c>
      <c r="M89" s="129">
        <f>SUM(M84:M88)</f>
        <v>343.65345004997334</v>
      </c>
      <c r="N89" s="129">
        <f>SUM(N84:N88)</f>
        <v>448.7993550439787</v>
      </c>
      <c r="O89" s="129">
        <f>SUM(O84:O88)</f>
        <v>566.6278678048274</v>
      </c>
      <c r="P89" s="80"/>
      <c r="Q89" s="80"/>
    </row>
    <row r="90">
      <c r="B90" t="s" s="139">
        <v>184</v>
      </c>
      <c r="G90" s="107"/>
      <c r="J90" s="132"/>
      <c r="K90" s="109">
        <f>K89/IS!K33</f>
        <v>0.18404096985206464</v>
      </c>
      <c r="L90" s="109">
        <f>L89/IS!L33</f>
        <v>0.2295615107488788</v>
      </c>
      <c r="M90" s="109">
        <f>M89/IS!M33</f>
        <v>0.26475015134278884</v>
      </c>
      <c r="N90" s="109">
        <f>N89/IS!N33</f>
        <v>0.29313591165014347</v>
      </c>
      <c r="O90" s="109">
        <f>O89/IS!O33</f>
        <v>0.31356859429186723</v>
      </c>
      <c r="P90" s="4"/>
      <c r="Q90" s="4"/>
    </row>
    <row r="91">
      <c r="B91" t="s" s="141">
        <v>731</v>
      </c>
      <c r="G91" s="93"/>
      <c r="J91" s="132"/>
      <c r="K91" s="79">
        <f>BS!G17</f>
        <v>695.998</v>
      </c>
      <c r="L91" s="74">
        <f>K92</f>
        <v>656.3861241429609</v>
      </c>
      <c r="M91" s="74">
        <f>L92</f>
        <v>600.4323393552502</v>
      </c>
      <c r="N91" s="74">
        <f>M92</f>
        <v>525.0418762685078</v>
      </c>
      <c r="O91" s="74">
        <f>N92</f>
        <v>427.1421956597523</v>
      </c>
    </row>
    <row r="92">
      <c r="B92" t="s" s="141">
        <v>732</v>
      </c>
      <c r="G92" s="93"/>
      <c r="J92" s="132"/>
      <c r="K92" s="74">
        <f>K91-K81</f>
        <v>656.3861241429609</v>
      </c>
      <c r="L92" s="74">
        <f>L91-L81</f>
        <v>600.4323393552502</v>
      </c>
      <c r="M92" s="74">
        <f>M91-M81</f>
        <v>525.0418762685078</v>
      </c>
      <c r="N92" s="74">
        <f>N91-N81</f>
        <v>427.1421956597523</v>
      </c>
      <c r="O92" s="74">
        <f>O91-O81</f>
        <v>304.3255016060358</v>
      </c>
    </row>
    <row r="93">
      <c r="G93" s="93"/>
      <c r="J93" s="132"/>
    </row>
    <row r="94">
      <c r="B94" t="s" s="6">
        <v>1466</v>
      </c>
      <c r="C94" s="143"/>
      <c r="D94" s="6"/>
      <c r="E94" s="6"/>
      <c r="F94" s="6"/>
      <c r="G94" s="95"/>
      <c r="H94" s="6"/>
      <c r="I94" s="6"/>
      <c r="J94" s="153"/>
      <c r="K94" s="6"/>
      <c r="L94" s="6"/>
      <c r="M94" s="6"/>
      <c r="N94" s="6"/>
      <c r="O94" s="6"/>
      <c r="P94" s="6"/>
      <c r="Q94" s="6"/>
    </row>
    <row r="95">
      <c r="B95" t="s" s="114">
        <v>1467</v>
      </c>
      <c r="C95" s="113"/>
      <c r="D95" s="113"/>
      <c r="E95" s="113"/>
      <c r="F95" s="113"/>
      <c r="G95" s="115"/>
      <c r="H95" s="113"/>
      <c r="I95" s="113"/>
      <c r="J95" s="156"/>
      <c r="K95" s="114"/>
      <c r="L95" s="114"/>
      <c r="M95" s="114"/>
      <c r="N95" s="114"/>
      <c r="O95" s="114"/>
      <c r="P95" s="114"/>
      <c r="Q95" s="114"/>
    </row>
    <row r="96">
      <c r="B96" t="s" s="71">
        <v>303</v>
      </c>
      <c r="G96" s="103">
        <v>730</v>
      </c>
      <c r="J96" s="132"/>
      <c r="K96" s="75">
        <v>940</v>
      </c>
      <c r="L96" s="75">
        <v>1100</v>
      </c>
      <c r="M96" s="75">
        <v>1298</v>
      </c>
      <c r="N96" s="75">
        <v>1531</v>
      </c>
      <c r="O96" s="75">
        <v>1807</v>
      </c>
    </row>
    <row r="97">
      <c r="B97" t="s" s="71">
        <v>722</v>
      </c>
      <c r="G97" s="103">
        <v>248</v>
      </c>
      <c r="J97" s="132"/>
      <c r="K97" s="75">
        <v>338</v>
      </c>
      <c r="L97" s="75">
        <v>418</v>
      </c>
      <c r="M97" s="75">
        <v>518</v>
      </c>
      <c r="N97" s="75">
        <v>634</v>
      </c>
      <c r="O97" s="75">
        <v>763</v>
      </c>
    </row>
    <row r="98">
      <c r="B98" t="s" s="141">
        <v>542</v>
      </c>
      <c r="G98" s="93"/>
      <c r="J98" s="132"/>
      <c r="K98" s="75">
        <v>-127</v>
      </c>
      <c r="L98" s="75">
        <v>-127</v>
      </c>
      <c r="M98" s="75">
        <v>-127</v>
      </c>
      <c r="N98" s="75">
        <v>-127</v>
      </c>
      <c r="O98" s="75">
        <v>-127</v>
      </c>
    </row>
    <row r="99">
      <c r="B99" t="s" s="141">
        <v>663</v>
      </c>
      <c r="G99" s="93"/>
      <c r="J99" s="132"/>
      <c r="K99" s="75">
        <v>-13</v>
      </c>
      <c r="L99" s="75">
        <v>-11</v>
      </c>
      <c r="M99" s="75">
        <v>-14</v>
      </c>
      <c r="N99" s="75">
        <v>-17</v>
      </c>
      <c r="O99" s="75">
        <v>-21</v>
      </c>
    </row>
    <row r="100">
      <c r="B100" t="s" s="71">
        <v>735</v>
      </c>
      <c r="G100" s="103">
        <v>114</v>
      </c>
      <c r="J100" s="132"/>
      <c r="K100" s="75">
        <v>198</v>
      </c>
      <c r="L100" s="75">
        <v>280</v>
      </c>
      <c r="M100" s="75">
        <v>377</v>
      </c>
      <c r="N100" s="75">
        <v>490</v>
      </c>
      <c r="O100" s="75">
        <v>614</v>
      </c>
    </row>
    <row r="101">
      <c r="B101" t="s" s="141">
        <v>736</v>
      </c>
      <c r="G101" s="93"/>
      <c r="J101" s="132"/>
      <c r="K101" s="75">
        <v>-10</v>
      </c>
      <c r="L101" s="75">
        <v>-14</v>
      </c>
      <c r="M101" s="75">
        <v>-19</v>
      </c>
      <c r="N101" s="75">
        <v>-24</v>
      </c>
      <c r="O101" s="75">
        <v>-31</v>
      </c>
    </row>
    <row r="102">
      <c r="B102" t="s" s="141">
        <v>726</v>
      </c>
      <c r="G102" s="93"/>
      <c r="J102" s="132"/>
      <c r="K102" s="75">
        <v>-2</v>
      </c>
      <c r="L102" s="75">
        <v>-2</v>
      </c>
      <c r="M102" s="75">
        <v>-2</v>
      </c>
      <c r="N102" s="75">
        <v>-2</v>
      </c>
      <c r="O102" s="75">
        <v>-2</v>
      </c>
    </row>
    <row r="103">
      <c r="B103" t="s" s="71">
        <v>737</v>
      </c>
      <c r="G103" s="93"/>
      <c r="J103" s="132"/>
      <c r="K103" s="75">
        <v>186</v>
      </c>
      <c r="L103" s="75">
        <v>264</v>
      </c>
      <c r="M103" s="75">
        <v>356</v>
      </c>
      <c r="N103" s="75">
        <v>463</v>
      </c>
      <c r="O103" s="75">
        <v>582</v>
      </c>
    </row>
    <row r="104">
      <c r="B104" t="s" s="141">
        <v>727</v>
      </c>
      <c r="G104" s="93"/>
      <c r="J104" s="132"/>
      <c r="K104" s="75">
        <v>13</v>
      </c>
      <c r="L104" s="75">
        <v>11</v>
      </c>
      <c r="M104" s="75">
        <v>14</v>
      </c>
      <c r="N104" s="75">
        <v>17</v>
      </c>
      <c r="O104" s="75">
        <v>21</v>
      </c>
    </row>
    <row r="105">
      <c r="B105" t="s" s="141">
        <v>677</v>
      </c>
      <c r="G105" s="93"/>
      <c r="J105" s="132"/>
      <c r="K105" s="75">
        <v>13</v>
      </c>
      <c r="L105" s="75">
        <v>16</v>
      </c>
      <c r="M105" s="75">
        <v>19</v>
      </c>
      <c r="N105" s="75">
        <v>22</v>
      </c>
      <c r="O105" s="75">
        <v>27</v>
      </c>
    </row>
    <row r="106">
      <c r="B106" t="s" s="141">
        <v>728</v>
      </c>
      <c r="G106" s="93"/>
      <c r="J106" s="132"/>
      <c r="K106" s="75">
        <v>-21</v>
      </c>
      <c r="L106" s="75">
        <v>-16</v>
      </c>
      <c r="M106" s="75">
        <v>-19</v>
      </c>
      <c r="N106" s="75">
        <v>-23</v>
      </c>
      <c r="O106" s="75">
        <v>-27</v>
      </c>
    </row>
    <row r="107">
      <c r="B107" t="s" s="141">
        <v>738</v>
      </c>
      <c r="G107" s="93"/>
      <c r="J107" s="132"/>
      <c r="K107" s="75">
        <v>-19</v>
      </c>
      <c r="L107" s="75">
        <v>-22</v>
      </c>
      <c r="M107" s="75">
        <v>-26</v>
      </c>
      <c r="N107" s="75">
        <v>-31</v>
      </c>
      <c r="O107" s="75">
        <v>-36</v>
      </c>
    </row>
    <row r="108">
      <c r="B108" t="s" s="138">
        <v>730</v>
      </c>
      <c r="C108" s="157"/>
      <c r="D108" s="157"/>
      <c r="E108" s="157"/>
      <c r="F108" s="157"/>
      <c r="G108" s="160"/>
      <c r="H108" s="157"/>
      <c r="I108" s="157"/>
      <c r="J108" s="158"/>
      <c r="K108" s="161">
        <v>173</v>
      </c>
      <c r="L108" s="161">
        <v>252</v>
      </c>
      <c r="M108" s="161">
        <v>343</v>
      </c>
      <c r="N108" s="161">
        <v>449</v>
      </c>
      <c r="O108" s="161">
        <v>566</v>
      </c>
      <c r="P108" s="80"/>
      <c r="Q108" s="80"/>
    </row>
    <row r="109">
      <c r="B109" t="s" s="71">
        <v>739</v>
      </c>
      <c r="G109" s="93"/>
      <c r="J109" s="132"/>
      <c r="K109" s="75">
        <v>40</v>
      </c>
      <c r="L109" s="75">
        <v>56</v>
      </c>
      <c r="M109" s="75">
        <v>75</v>
      </c>
      <c r="N109" s="75">
        <v>98</v>
      </c>
      <c r="O109" s="75">
        <v>123</v>
      </c>
    </row>
    <row r="110">
      <c r="B110" t="s" s="71">
        <v>740</v>
      </c>
      <c r="G110" s="93"/>
      <c r="J110" s="132"/>
      <c r="K110" s="75">
        <v>134</v>
      </c>
      <c r="L110" s="75">
        <v>196</v>
      </c>
      <c r="M110" s="75">
        <v>268</v>
      </c>
      <c r="N110" s="75">
        <v>351</v>
      </c>
      <c r="O110" s="75">
        <v>444</v>
      </c>
    </row>
    <row r="111">
      <c r="B111" t="s" s="71">
        <v>741</v>
      </c>
      <c r="G111" s="93"/>
      <c r="J111" s="132"/>
      <c r="K111" s="75">
        <v>300</v>
      </c>
      <c r="L111" s="75">
        <v>379</v>
      </c>
      <c r="M111" s="75">
        <v>470</v>
      </c>
      <c r="N111" s="75">
        <v>576</v>
      </c>
      <c r="O111" s="75">
        <v>693</v>
      </c>
    </row>
    <row r="112">
      <c r="B112" t="s" s="114">
        <v>1468</v>
      </c>
      <c r="C112" s="113"/>
      <c r="D112" s="113"/>
      <c r="E112" s="113"/>
      <c r="F112" s="113"/>
      <c r="G112" s="115"/>
      <c r="H112" s="113"/>
      <c r="I112" s="113"/>
      <c r="J112" s="156"/>
      <c r="K112" s="114"/>
      <c r="L112" s="114"/>
      <c r="M112" s="114"/>
      <c r="N112" s="114"/>
      <c r="O112" s="114"/>
      <c r="P112" s="114"/>
      <c r="Q112" s="114"/>
    </row>
    <row r="113">
      <c r="B113" t="s" s="71">
        <v>303</v>
      </c>
      <c r="G113" s="93"/>
      <c r="J113" s="132"/>
      <c r="K113" s="79">
        <f>IS!K33-K96</f>
        <v>-0.01973512717415815</v>
      </c>
      <c r="L113" s="79">
        <f>IS!L33-L96</f>
        <v>-0.002689567624429401</v>
      </c>
      <c r="M113" s="79">
        <f>IS!M33-M96</f>
        <v>0.02928650651983844</v>
      </c>
      <c r="N113" s="79">
        <f>IS!N33-N96</f>
        <v>0.028226864332282275</v>
      </c>
      <c r="O113" s="79">
        <f>IS!O33-O96</f>
        <v>0.030034638655479284</v>
      </c>
    </row>
    <row r="114">
      <c r="B114" t="s" s="71">
        <v>722</v>
      </c>
      <c r="G114" s="93"/>
      <c r="J114" s="132"/>
      <c r="K114" s="74">
        <f>K76-K97</f>
        <v>0.37701967791394964</v>
      </c>
      <c r="L114" s="74">
        <f>L76-L97</f>
        <v>0.005396464620389452</v>
      </c>
      <c r="M114" s="74">
        <f>M76-M97</f>
        <v>-0.06790915061287706</v>
      </c>
      <c r="N114" s="74">
        <f>N76-N97</f>
        <v>-0.1397368635807652</v>
      </c>
      <c r="O114" s="74">
        <f>O76-O97</f>
        <v>-0.42190746939058954</v>
      </c>
    </row>
    <row r="115">
      <c r="B115" t="s" s="71">
        <v>743</v>
      </c>
      <c r="G115" s="93"/>
      <c r="J115" s="132"/>
      <c r="K115" s="74">
        <f>K77-K98</f>
        <v>0</v>
      </c>
      <c r="L115" s="74">
        <f>L77-L98</f>
        <v>0</v>
      </c>
      <c r="M115" s="74">
        <f>M77-M98</f>
        <v>0</v>
      </c>
      <c r="N115" s="74">
        <f>N77-N98</f>
        <v>0</v>
      </c>
      <c r="O115" s="74">
        <f>O77-O98</f>
        <v>0</v>
      </c>
    </row>
    <row r="116">
      <c r="B116" t="s" s="71">
        <v>192</v>
      </c>
      <c r="G116" s="93"/>
      <c r="J116" s="132"/>
      <c r="K116" s="74">
        <f>K78-K99</f>
        <v>-0.31764039271819655</v>
      </c>
      <c r="L116" s="74">
        <f>L78-L99</f>
        <v>-0.23647252606671643</v>
      </c>
      <c r="M116" s="74">
        <f>M78-M99</f>
        <v>0.020224584324783024</v>
      </c>
      <c r="N116" s="74">
        <f>N78-N99</f>
        <v>-0.3618600926415283</v>
      </c>
      <c r="O116" s="74">
        <f>O78-O99</f>
        <v>-0.4946222620268088</v>
      </c>
    </row>
    <row r="117">
      <c r="B117" t="s" s="71">
        <v>735</v>
      </c>
      <c r="G117" s="93"/>
      <c r="J117" s="132"/>
      <c r="K117" s="74">
        <f>K79-K100</f>
        <v>0.05937928519574598</v>
      </c>
      <c r="L117" s="74">
        <f>L79-L100</f>
        <v>-0.23107606144634474</v>
      </c>
      <c r="M117" s="74">
        <f>M79-M100</f>
        <v>-0.04768456628806916</v>
      </c>
      <c r="N117" s="74">
        <f>N79-N100</f>
        <v>-0.5015969562222722</v>
      </c>
      <c r="O117" s="74">
        <f>O79-O100</f>
        <v>0.08347026858257323</v>
      </c>
    </row>
    <row r="118">
      <c r="B118" t="s" s="71">
        <v>709</v>
      </c>
      <c r="G118" s="93"/>
      <c r="J118" s="132"/>
      <c r="K118" s="74">
        <f>K82-K101</f>
        <v>0.09703103574021554</v>
      </c>
      <c r="L118" s="74">
        <f>L82-L101</f>
        <v>0.011553803072317237</v>
      </c>
      <c r="M118" s="74">
        <f>M82-M101</f>
        <v>0.15238422831440346</v>
      </c>
      <c r="N118" s="74">
        <f>N82-N101</f>
        <v>-0.4749201521888864</v>
      </c>
      <c r="O118" s="74">
        <f>O82-O101</f>
        <v>0.2958264865708742</v>
      </c>
    </row>
    <row r="119">
      <c r="B119" t="s" s="71">
        <v>216</v>
      </c>
      <c r="G119" s="93"/>
      <c r="J119" s="132"/>
      <c r="K119" s="74">
        <f>K83-K102</f>
        <v>0</v>
      </c>
      <c r="L119" s="74">
        <f>L83-L102</f>
        <v>0</v>
      </c>
      <c r="M119" s="74">
        <f>M83-M102</f>
        <v>0</v>
      </c>
      <c r="N119" s="74">
        <f>N83-N102</f>
        <v>0</v>
      </c>
      <c r="O119" s="74">
        <f>O83-O102</f>
        <v>0</v>
      </c>
    </row>
    <row r="120">
      <c r="B120" t="s" s="71">
        <v>737</v>
      </c>
      <c r="G120" s="93"/>
      <c r="J120" s="132"/>
      <c r="K120" s="74">
        <f>K84-K103</f>
        <v>0.1564103209359473</v>
      </c>
      <c r="L120" s="74">
        <f>L84-L103</f>
        <v>-0.2195222583740133</v>
      </c>
      <c r="M120" s="74">
        <f>M84-M103</f>
        <v>0.1046996620263485</v>
      </c>
      <c r="N120" s="74">
        <f>N84-N103</f>
        <v>0.023482891588855637</v>
      </c>
      <c r="O120" s="74">
        <f>O84-O103</f>
        <v>-0.6207032448465952</v>
      </c>
    </row>
    <row r="121">
      <c r="B121" t="s" s="141">
        <v>727</v>
      </c>
      <c r="G121" s="93"/>
      <c r="J121" s="132"/>
      <c r="K121" s="74">
        <f>K85-K104</f>
        <v>0.31764039271819655</v>
      </c>
      <c r="L121" s="74">
        <f>L85-L104</f>
        <v>0.23647252606671643</v>
      </c>
      <c r="M121" s="74">
        <f>M85-M104</f>
        <v>-0.020224584324783024</v>
      </c>
      <c r="N121" s="74">
        <f>N85-N104</f>
        <v>0.3618600926415283</v>
      </c>
      <c r="O121" s="74">
        <f>O85-O104</f>
        <v>0.4946222620268088</v>
      </c>
    </row>
    <row r="122">
      <c r="B122" t="s" s="71">
        <v>744</v>
      </c>
      <c r="G122" s="93"/>
      <c r="J122" s="132"/>
      <c r="K122" s="74">
        <f>K86-K105</f>
        <v>0</v>
      </c>
      <c r="L122" s="74">
        <f>L86-L105</f>
        <v>0</v>
      </c>
      <c r="M122" s="74">
        <f>M86-M105</f>
        <v>0</v>
      </c>
      <c r="N122" s="74">
        <f>N86-N105</f>
        <v>0</v>
      </c>
      <c r="O122" s="74">
        <f>O86-O105</f>
        <v>0</v>
      </c>
    </row>
    <row r="123">
      <c r="B123" t="s" s="71">
        <v>745</v>
      </c>
      <c r="G123" s="93"/>
      <c r="J123" s="132"/>
      <c r="K123" s="74">
        <f>K87-K106</f>
        <v>0.3204341727978317</v>
      </c>
      <c r="L123" s="74">
        <f>L87-L106</f>
        <v>-0.49995965648563256</v>
      </c>
      <c r="M123" s="74">
        <f>M87-M106</f>
        <v>-0.470439297597796</v>
      </c>
      <c r="N123" s="74">
        <f>N87-N106</f>
        <v>0.034576597035016476</v>
      </c>
      <c r="O123" s="74">
        <f>O87-O106</f>
        <v>-0.10545051957983276</v>
      </c>
    </row>
    <row r="124">
      <c r="B124" t="s" s="71">
        <v>746</v>
      </c>
      <c r="G124" s="93"/>
      <c r="J124" s="132"/>
      <c r="K124" s="74">
        <f>K88-K107</f>
        <v>0.20039470254348402</v>
      </c>
      <c r="L124" s="74">
        <f>L88-L107</f>
        <v>0.000053791352488730126</v>
      </c>
      <c r="M124" s="74">
        <f>M88-M107</f>
        <v>0.03941426986960295</v>
      </c>
      <c r="N124" s="74">
        <f>N88-N107</f>
        <v>0.37943546271335293</v>
      </c>
      <c r="O124" s="74">
        <f>O88-O107</f>
        <v>-0.1406006927731127</v>
      </c>
    </row>
    <row r="125">
      <c r="B125" t="s" s="138">
        <v>730</v>
      </c>
      <c r="C125" s="157"/>
      <c r="D125" s="157"/>
      <c r="E125" s="157"/>
      <c r="F125" s="157"/>
      <c r="G125" s="160"/>
      <c r="H125" s="157"/>
      <c r="I125" s="157"/>
      <c r="J125" s="158"/>
      <c r="K125" s="129">
        <f>K89-K108</f>
        <v>-0.005120411004526204</v>
      </c>
      <c r="L125" s="129">
        <f>L89-L108</f>
        <v>0.5170444025595486</v>
      </c>
      <c r="M125" s="129">
        <f>M89-M108</f>
        <v>0.653450049973344</v>
      </c>
      <c r="N125" s="129">
        <f>N89-N108</f>
        <v>-0.20064495602127863</v>
      </c>
      <c r="O125" s="129">
        <f>O89-O108</f>
        <v>0.6278678048273605</v>
      </c>
      <c r="P125" s="80"/>
      <c r="Q125" s="80"/>
    </row>
    <row r="126">
      <c r="B126" t="s" s="139">
        <v>328</v>
      </c>
      <c r="G126" s="107"/>
      <c r="J126" s="132"/>
      <c r="K126" s="99">
        <f>K125/K108</f>
        <v>-0.000029597751471249734</v>
      </c>
      <c r="L126" s="99">
        <f>L125/L108</f>
        <v>0.0020517635022204313</v>
      </c>
      <c r="M126" s="99">
        <f>M125/M108</f>
        <v>0.001905102186511207</v>
      </c>
      <c r="N126" s="99">
        <f>N125/N108</f>
        <v>-0.0004468707261052976</v>
      </c>
      <c r="O126" s="99">
        <f>O125/O108</f>
        <v>0.0011093070756667146</v>
      </c>
      <c r="P126" s="4"/>
      <c r="Q126" s="4"/>
    </row>
    <row r="127">
      <c r="B127" t="s" s="71">
        <v>739</v>
      </c>
      <c r="G127" s="93"/>
      <c r="J127" s="132"/>
      <c r="K127" s="74">
        <f>K81-K109</f>
        <v>-0.38812414296084796</v>
      </c>
      <c r="L127" s="74">
        <f>L81-L109</f>
        <v>-0.04621521228926895</v>
      </c>
      <c r="M127" s="74">
        <f>M81-M109</f>
        <v>0.39046308674238617</v>
      </c>
      <c r="N127" s="74">
        <f>N81-N109</f>
        <v>-0.10031939124445444</v>
      </c>
      <c r="O127" s="74">
        <f>O81-O109</f>
        <v>-0.1833059462834825</v>
      </c>
    </row>
    <row r="128">
      <c r="B128" t="s" s="71">
        <v>740</v>
      </c>
      <c r="G128" s="93"/>
      <c r="J128" s="132"/>
      <c r="K128" s="74">
        <f>(K89-K81)-K110</f>
        <v>-0.6169962680436925</v>
      </c>
      <c r="L128" s="74">
        <f>(L89-L81)-L110</f>
        <v>0.5632596148488176</v>
      </c>
      <c r="M128" s="74">
        <f>(M89-M81)-M110</f>
        <v>0.2629869632309578</v>
      </c>
      <c r="N128" s="74">
        <f>(N89-N81)-N110</f>
        <v>-0.1003255647768242</v>
      </c>
      <c r="O128" s="74">
        <f>(O89-O81)-O110</f>
        <v>-0.1888262488891428</v>
      </c>
    </row>
    <row r="129">
      <c r="B129" t="s" s="71">
        <v>741</v>
      </c>
      <c r="G129" s="93"/>
      <c r="J129" s="132"/>
      <c r="K129" s="74">
        <f>(K89-K77)-K111</f>
        <v>-0.005120411004554626</v>
      </c>
      <c r="L129" s="74">
        <f>(L89-L77)-L111</f>
        <v>0.5170444025595771</v>
      </c>
      <c r="M129" s="74">
        <f>(M89-M77)-M111</f>
        <v>0.653450049973344</v>
      </c>
      <c r="N129" s="74">
        <f>(N89-N77)-N111</f>
        <v>-0.20064495602127863</v>
      </c>
      <c r="O129" s="74">
        <f>(O89-O77)-O111</f>
        <v>0.6278678048273605</v>
      </c>
    </row>
    <row r="130">
      <c r="B130" t="s" s="71">
        <v>747</v>
      </c>
      <c r="G130" s="93"/>
      <c r="J130" s="132"/>
      <c r="K130" s="74">
        <f>SUM($K125:K125)</f>
        <v>-0.005120411004526204</v>
      </c>
      <c r="L130" s="74">
        <f>SUM($K125:L125)</f>
        <v>0.5119239915550224</v>
      </c>
      <c r="M130" s="74">
        <f>SUM($K125:M125)</f>
        <v>1.1653740415283664</v>
      </c>
      <c r="N130" s="74">
        <f>SUM($K125:N125)</f>
        <v>0.9647290855070878</v>
      </c>
      <c r="O130" s="74">
        <f>SUM($K125:O125)</f>
        <v>1.5925968903344483</v>
      </c>
    </row>
    <row r="131">
      <c r="G131" s="93"/>
      <c r="J131" s="132"/>
    </row>
    <row r="132">
      <c r="B132" t="s" s="143">
        <v>748</v>
      </c>
      <c r="C132" s="143"/>
      <c r="D132" s="6"/>
      <c r="E132" s="6"/>
      <c r="F132" s="6"/>
      <c r="G132" s="95"/>
      <c r="H132" s="6"/>
      <c r="I132" s="6"/>
      <c r="J132" s="153"/>
      <c r="K132" s="6"/>
      <c r="L132" s="6"/>
      <c r="M132" s="6"/>
      <c r="N132" s="6"/>
      <c r="O132" s="6"/>
      <c r="P132" s="6"/>
      <c r="Q132" s="6"/>
    </row>
    <row r="133">
      <c r="B133" t="s" s="71">
        <v>749</v>
      </c>
      <c r="G133" s="93"/>
      <c r="J133" s="132"/>
      <c r="K133" s="74">
        <f>K63</f>
        <v>260.68724728745786</v>
      </c>
      <c r="L133" s="74">
        <f>L63</f>
        <v>352.00251763452565</v>
      </c>
      <c r="M133" s="74">
        <f>M63</f>
        <v>458.6941601600029</v>
      </c>
      <c r="N133" s="74">
        <f>N63</f>
        <v>583.7994436273101</v>
      </c>
      <c r="O133" s="74">
        <f>O63</f>
        <v>727.1051435108988</v>
      </c>
    </row>
    <row r="134">
      <c r="B134" t="s" s="141">
        <v>750</v>
      </c>
      <c r="G134" s="93"/>
      <c r="J134" s="132"/>
      <c r="K134" s="79">
        <f>IS!K58</f>
        <v>-127</v>
      </c>
      <c r="L134" s="79">
        <f>IS!L58</f>
        <v>-127</v>
      </c>
      <c r="M134" s="79">
        <f>IS!M58</f>
        <v>-127</v>
      </c>
      <c r="N134" s="79">
        <f>IS!N58</f>
        <v>-127</v>
      </c>
      <c r="O134" s="79">
        <f>IS!O58</f>
        <v>-127</v>
      </c>
    </row>
    <row r="135">
      <c r="B135" t="s" s="141">
        <v>751</v>
      </c>
      <c r="G135" s="93"/>
      <c r="J135" s="132"/>
      <c r="K135" s="79">
        <f>BS!K88</f>
        <v>50.28</v>
      </c>
      <c r="L135" s="79">
        <f>BS!L88</f>
        <v>49.8</v>
      </c>
      <c r="M135" s="79">
        <f>BS!M88</f>
        <v>49.32</v>
      </c>
      <c r="N135" s="79">
        <f>BS!N88</f>
        <v>48.839999999999996</v>
      </c>
      <c r="O135" s="79">
        <f>BS!O88</f>
        <v>47.04</v>
      </c>
    </row>
    <row r="136">
      <c r="B136" t="s" s="141">
        <v>752</v>
      </c>
      <c r="G136" s="93"/>
      <c r="J136" s="132"/>
      <c r="K136" s="79">
        <f>-BS!K90</f>
        <v>-8.703544945749089</v>
      </c>
      <c r="L136" s="79">
        <f>-BS!L90</f>
        <v>-20.637340244190597</v>
      </c>
      <c r="M136" s="79">
        <f>-BS!M90</f>
        <v>-36.53127380007711</v>
      </c>
      <c r="N136" s="79">
        <f>-BS!N90</f>
        <v>-57.061145875527984</v>
      </c>
      <c r="O136" s="79">
        <f>-BS!O90</f>
        <v>-82.0792376215607</v>
      </c>
    </row>
    <row r="137">
      <c r="B137" t="s" s="141">
        <v>753</v>
      </c>
      <c r="G137" s="93"/>
      <c r="J137" s="132"/>
      <c r="K137" s="79">
        <f>BS!K101+(K82+K83)</f>
        <v>-2.268822752712527</v>
      </c>
      <c r="L137" s="79">
        <f>BS!L101+(L82+L83)</f>
        <v>-1.648132987790902</v>
      </c>
      <c r="M137" s="79">
        <f>BS!M101+(M82+M83)</f>
        <v>-0.8294363099982718</v>
      </c>
      <c r="N137" s="79">
        <f>BS!N101+(N82+N83)</f>
        <v>0.2210572938169122</v>
      </c>
      <c r="O137" s="79">
        <f>BS!O101+(O82+O83)</f>
        <v>1.5619618805593944</v>
      </c>
    </row>
    <row r="138">
      <c r="B138" t="s" s="138">
        <v>754</v>
      </c>
      <c r="C138" s="157"/>
      <c r="D138" s="157"/>
      <c r="E138" s="157"/>
      <c r="F138" s="157"/>
      <c r="G138" s="160"/>
      <c r="H138" s="157"/>
      <c r="I138" s="157"/>
      <c r="J138" s="158"/>
      <c r="K138" s="129">
        <f>SUM(K133:K137)</f>
        <v>172.99487958899624</v>
      </c>
      <c r="L138" s="129">
        <f>SUM(L133:L137)</f>
        <v>252.51704440254417</v>
      </c>
      <c r="M138" s="129">
        <f>SUM(M133:M137)</f>
        <v>343.6534500499275</v>
      </c>
      <c r="N138" s="129">
        <f>SUM(N133:N137)</f>
        <v>448.799355045599</v>
      </c>
      <c r="O138" s="129">
        <f>SUM(O133:O137)</f>
        <v>566.6278677698974</v>
      </c>
      <c r="P138" s="80"/>
      <c r="Q138" s="80"/>
    </row>
    <row r="139">
      <c r="B139" t="s" s="140">
        <v>755</v>
      </c>
      <c r="G139" s="107"/>
      <c r="J139" s="132"/>
      <c r="K139" s="98">
        <f>ROUND(K138-K89,3)</f>
        <v>0</v>
      </c>
      <c r="L139" s="98">
        <f>ROUND(L138-L89,3)</f>
        <v>0</v>
      </c>
      <c r="M139" s="98">
        <f>ROUND(M138-M89,3)</f>
        <v>0</v>
      </c>
      <c r="N139" s="98">
        <f>ROUND(N138-N89,3)</f>
        <v>0</v>
      </c>
      <c r="O139" s="98">
        <f>ROUND(O138-O89,3)</f>
        <v>0</v>
      </c>
      <c r="P139" s="4"/>
      <c r="Q139" s="4"/>
    </row>
    <row r="140">
      <c r="G140" s="93"/>
      <c r="J140" s="132"/>
    </row>
    <row r="141">
      <c r="B141" t="s" s="6">
        <v>1469</v>
      </c>
      <c r="C141" s="143"/>
      <c r="D141" s="6"/>
      <c r="E141" s="6"/>
      <c r="F141" s="6"/>
      <c r="G141" s="95"/>
      <c r="H141" s="6"/>
      <c r="I141" s="6"/>
      <c r="J141" s="153"/>
      <c r="K141" s="6"/>
      <c r="L141" s="6"/>
      <c r="M141" s="6"/>
      <c r="N141" s="6"/>
      <c r="O141" s="6"/>
      <c r="P141" s="6"/>
      <c r="Q141" s="6"/>
    </row>
    <row r="142">
      <c r="B142" t="s" s="71">
        <v>757</v>
      </c>
      <c r="G142" s="93"/>
      <c r="J142" s="132"/>
      <c r="K142" s="111">
        <v>0.105</v>
      </c>
    </row>
    <row r="143">
      <c r="B143" t="s" s="71">
        <v>758</v>
      </c>
      <c r="G143" s="93"/>
      <c r="J143" s="132"/>
      <c r="K143" s="111">
        <v>0.06</v>
      </c>
    </row>
    <row r="144">
      <c r="B144" t="s" s="71">
        <v>759</v>
      </c>
      <c r="G144" s="93"/>
      <c r="J144" s="132"/>
      <c r="K144" s="75">
        <v>0.5</v>
      </c>
    </row>
    <row r="145">
      <c r="B145" t="s" s="138">
        <v>760</v>
      </c>
      <c r="C145" s="157"/>
      <c r="D145" s="157"/>
      <c r="E145" s="157"/>
      <c r="F145" s="157"/>
      <c r="G145" s="160"/>
      <c r="H145" s="157"/>
      <c r="I145" s="157"/>
      <c r="J145" s="158"/>
      <c r="K145" s="161">
        <v>795</v>
      </c>
      <c r="L145" s="127"/>
      <c r="M145" s="127"/>
      <c r="N145" s="127"/>
      <c r="O145" s="127"/>
      <c r="P145" s="80"/>
      <c r="Q145" s="80"/>
    </row>
    <row r="146">
      <c r="B146" t="s" s="71">
        <v>761</v>
      </c>
      <c r="G146" s="93"/>
      <c r="J146" s="132"/>
      <c r="K146" s="75">
        <v>311.1</v>
      </c>
    </row>
    <row r="147">
      <c r="B147" t="s" s="71">
        <v>762</v>
      </c>
      <c r="G147" s="93"/>
      <c r="J147" s="132"/>
      <c r="K147" s="85">
        <v>24.55</v>
      </c>
    </row>
    <row r="148">
      <c r="B148" t="s" s="71">
        <v>740</v>
      </c>
      <c r="G148" s="93"/>
      <c r="J148" s="132"/>
      <c r="K148" s="74">
        <f>K89-K81</f>
        <v>133.3830037319563</v>
      </c>
      <c r="L148" s="74">
        <f>L89-L81</f>
        <v>196.56325961484882</v>
      </c>
      <c r="M148" s="74">
        <f>M89-M81</f>
        <v>268.26298696323096</v>
      </c>
      <c r="N148" s="74">
        <f>N89-N81</f>
        <v>350.8996744352232</v>
      </c>
      <c r="O148" s="74">
        <f>O89-O81</f>
        <v>443.81117375111086</v>
      </c>
    </row>
    <row r="149">
      <c r="B149" t="s" s="71">
        <v>763</v>
      </c>
      <c r="G149" s="93"/>
      <c r="J149" s="132"/>
      <c r="K149" s="74">
        <f>YEAR(K$73)-YEAR($G$73)-$K$144</f>
        <v>0.5</v>
      </c>
      <c r="L149" s="74">
        <f>YEAR(L$73)-YEAR($G$73)-$K$144</f>
        <v>1.5</v>
      </c>
      <c r="M149" s="74">
        <f>YEAR(M$73)-YEAR($G$73)-$K$144</f>
        <v>2.5</v>
      </c>
      <c r="N149" s="74">
        <f>YEAR(N$73)-YEAR($G$73)-$K$144</f>
        <v>3.5</v>
      </c>
      <c r="O149" s="74">
        <f>YEAR(O$73)-YEAR($G$73)-$K$144</f>
        <v>4.5</v>
      </c>
      <c r="P149" s="74">
        <f>YEAR(P$73)-YEAR($G$73)-$K$144</f>
        <v>5.5</v>
      </c>
      <c r="Q149" s="74">
        <f>YEAR(Q$73)-YEAR($G$73)-$K$144</f>
        <v>6.5</v>
      </c>
    </row>
    <row r="150">
      <c r="B150" t="s" s="71">
        <v>764</v>
      </c>
      <c r="G150" s="93"/>
      <c r="J150" s="132"/>
      <c r="K150" s="74">
        <f>1/(1+$K$142)^K149</f>
        <v>0.9513029883089882</v>
      </c>
      <c r="L150" s="74">
        <f>1/(1+$K$142)^L149</f>
        <v>0.8609076817275911</v>
      </c>
      <c r="M150" s="74">
        <f>1/(1+$K$142)^M149</f>
        <v>0.7791019744141096</v>
      </c>
      <c r="N150" s="74">
        <f>1/(1+$K$142)^N149</f>
        <v>0.7050696601032667</v>
      </c>
      <c r="O150" s="74">
        <f>1/(1+$K$142)^O149</f>
        <v>0.6380720905911915</v>
      </c>
      <c r="P150" s="74">
        <f>1/(1+$K$142)^P149</f>
        <v>0.5774408059648792</v>
      </c>
      <c r="Q150" s="74">
        <f>1/(1+$K$142)^Q149</f>
        <v>0.5225708651265876</v>
      </c>
    </row>
    <row r="151">
      <c r="B151" t="s" s="71">
        <v>765</v>
      </c>
      <c r="G151" s="93"/>
      <c r="J151" s="132"/>
      <c r="K151" s="74">
        <f>K148*K150</f>
        <v>126.88765003983896</v>
      </c>
      <c r="L151" s="74">
        <f>L148*L150</f>
        <v>169.22282014783812</v>
      </c>
      <c r="M151" s="74">
        <f>M148*M150</f>
        <v>209.00422280527977</v>
      </c>
      <c r="N151" s="74">
        <f>N148*N150</f>
        <v>247.40871418438974</v>
      </c>
      <c r="O151" s="74">
        <f>O148*O150</f>
        <v>283.18352346310184</v>
      </c>
    </row>
    <row r="152">
      <c r="B152" t="s" s="71">
        <v>766</v>
      </c>
      <c r="G152" s="93"/>
      <c r="J152" s="132"/>
      <c r="K152" s="74">
        <f>K81</f>
        <v>39.61187585703915</v>
      </c>
      <c r="L152" s="74">
        <f>L81</f>
        <v>55.95378478771073</v>
      </c>
      <c r="M152" s="74">
        <f>M81</f>
        <v>75.39046308674239</v>
      </c>
      <c r="N152" s="74">
        <f>N81</f>
        <v>97.89968060875555</v>
      </c>
      <c r="O152" s="74">
        <f>O81</f>
        <v>122.81669405371652</v>
      </c>
      <c r="P152" s="75">
        <v>148</v>
      </c>
      <c r="Q152" s="75">
        <v>132</v>
      </c>
    </row>
    <row r="153">
      <c r="B153" t="s" s="71">
        <v>767</v>
      </c>
      <c r="G153" s="93"/>
      <c r="J153" s="132"/>
      <c r="K153" s="74">
        <f>K152*K150</f>
        <v>37.68289587532601</v>
      </c>
      <c r="L153" s="74">
        <f>L152*L150</f>
        <v>48.1710431454726</v>
      </c>
      <c r="M153" s="74">
        <f>M152*M150</f>
        <v>58.736858642875035</v>
      </c>
      <c r="N153" s="74">
        <f>N152*N150</f>
        <v>69.02609453103364</v>
      </c>
      <c r="O153" s="74">
        <f>O152*O150</f>
        <v>78.36590473435366</v>
      </c>
      <c r="P153" s="74">
        <f>P152*P150</f>
        <v>85.46123928280213</v>
      </c>
      <c r="Q153" s="74">
        <f>Q152*Q150</f>
        <v>68.97935419670956</v>
      </c>
    </row>
    <row r="154">
      <c r="B154" t="s" s="71">
        <v>768</v>
      </c>
      <c r="G154" s="93"/>
      <c r="J154" s="132"/>
      <c r="O154" s="79">
        <f>O148+(BS!O71-BS!O73)*Assumptions!H132</f>
        <v>445.2138808154991</v>
      </c>
    </row>
    <row r="155">
      <c r="B155" t="s" s="138">
        <v>769</v>
      </c>
      <c r="C155" s="157"/>
      <c r="D155" s="157"/>
      <c r="E155" s="157"/>
      <c r="F155" s="157"/>
      <c r="G155" s="160"/>
      <c r="H155" s="157"/>
      <c r="I155" s="157"/>
      <c r="J155" s="158"/>
      <c r="K155" s="127"/>
      <c r="L155" s="127"/>
      <c r="M155" s="127"/>
      <c r="N155" s="127"/>
      <c r="O155" s="129">
        <f>O154*(1+$K$143)/($K$142-$K$143)*(1+$K$142)^$K$144</f>
        <v>11024.101082974485</v>
      </c>
      <c r="P155" s="80"/>
      <c r="Q155" s="80"/>
    </row>
    <row r="156">
      <c r="B156" t="s" s="71">
        <v>770</v>
      </c>
      <c r="G156" s="93"/>
      <c r="J156" s="132"/>
      <c r="O156" s="74">
        <f>O155/(1+$K$142)^(O149+$K$144)</f>
        <v>6691.628106526509</v>
      </c>
    </row>
    <row r="157">
      <c r="B157" t="s" s="71">
        <v>771</v>
      </c>
      <c r="G157" s="93"/>
      <c r="J157" s="132"/>
      <c r="K157" s="74">
        <f>SUM(K151:O151)</f>
        <v>1035.7069306404485</v>
      </c>
    </row>
    <row r="158">
      <c r="B158" t="s" s="138">
        <v>772</v>
      </c>
      <c r="C158" s="157"/>
      <c r="D158" s="157"/>
      <c r="E158" s="157"/>
      <c r="F158" s="157"/>
      <c r="G158" s="160"/>
      <c r="H158" s="157"/>
      <c r="I158" s="157"/>
      <c r="J158" s="158"/>
      <c r="K158" s="129">
        <f>K157+O156</f>
        <v>7727.335037166958</v>
      </c>
      <c r="L158" s="127"/>
      <c r="M158" s="127"/>
      <c r="N158" s="127"/>
      <c r="O158" s="127"/>
      <c r="P158" s="80"/>
      <c r="Q158" s="80"/>
    </row>
    <row r="159">
      <c r="B159" t="s" s="141">
        <v>773</v>
      </c>
      <c r="G159" s="93"/>
      <c r="J159" s="132"/>
      <c r="K159" s="74">
        <f>SUM(K153:Q153)</f>
        <v>446.42339040857263</v>
      </c>
    </row>
    <row r="160">
      <c r="B160" t="s" s="138">
        <v>774</v>
      </c>
      <c r="C160" s="157"/>
      <c r="D160" s="157"/>
      <c r="E160" s="157"/>
      <c r="F160" s="157"/>
      <c r="G160" s="160"/>
      <c r="H160" s="157"/>
      <c r="I160" s="157"/>
      <c r="J160" s="158"/>
      <c r="K160" s="129">
        <f>K158-K145+K159</f>
        <v>7378.75842757553</v>
      </c>
      <c r="L160" s="127"/>
      <c r="M160" s="127"/>
      <c r="N160" s="127"/>
      <c r="O160" s="127"/>
      <c r="P160" s="80"/>
      <c r="Q160" s="80"/>
    </row>
    <row r="161">
      <c r="B161" t="s" s="71">
        <v>775</v>
      </c>
      <c r="G161" s="93"/>
      <c r="J161" s="132"/>
      <c r="K161" s="76">
        <f>K160/K146</f>
        <v>23.718284884524362</v>
      </c>
    </row>
    <row r="162">
      <c r="B162" t="s" s="71">
        <v>776</v>
      </c>
      <c r="G162" s="93"/>
      <c r="J162" s="132"/>
      <c r="K162" s="77">
        <f>K147/K161-1</f>
        <v>0.03506641055729598</v>
      </c>
    </row>
    <row r="163">
      <c r="B163" t="s" s="139">
        <v>777</v>
      </c>
      <c r="G163" s="107"/>
      <c r="J163" s="132"/>
      <c r="K163" s="99">
        <f>O156/K158</f>
        <v>0.8659684191692346</v>
      </c>
      <c r="L163" s="4"/>
      <c r="M163" s="4"/>
      <c r="N163" s="4"/>
      <c r="O163" s="4"/>
      <c r="P163" s="4"/>
      <c r="Q163" s="4"/>
    </row>
    <row r="164">
      <c r="B164" t="s" s="71">
        <v>778</v>
      </c>
      <c r="G164" s="93"/>
      <c r="J164" s="132"/>
      <c r="K164" s="77">
        <f>(((K147*K146+K145-K159-K157)*(1+$K$142)^(O149+$K$144)/(1+$K$142)^$K$144)*$K$142-O154)/(((K147*K146+K145-K159-K157)*(1+$K$142)^(O149+$K$144)/(1+$K$142)^$K$144)+O154)</f>
        <v>0.061609464514855404</v>
      </c>
    </row>
    <row r="165">
      <c r="B165" t="s" s="71">
        <v>779</v>
      </c>
      <c r="G165" s="93"/>
      <c r="J165" s="132"/>
      <c r="K165" s="82">
        <f>O155/IS!O68</f>
        <v>14.456356917350053</v>
      </c>
    </row>
    <row r="166">
      <c r="B166" t="s" s="185">
        <v>1470</v>
      </c>
      <c r="C166" s="157"/>
      <c r="D166" s="157"/>
      <c r="E166" s="157"/>
      <c r="F166" s="157"/>
      <c r="G166" s="160"/>
      <c r="H166" s="157"/>
      <c r="I166" s="157"/>
      <c r="J166" s="158"/>
      <c r="K166" s="161">
        <v>7723</v>
      </c>
      <c r="L166" s="127"/>
      <c r="M166" s="127"/>
      <c r="N166" s="127"/>
      <c r="O166" s="127"/>
      <c r="P166" s="80"/>
      <c r="Q166" s="80"/>
    </row>
    <row r="167">
      <c r="B167" t="s">
        <v>1471</v>
      </c>
      <c r="G167" s="93"/>
      <c r="J167" s="132"/>
      <c r="K167" s="85">
        <v>23.75</v>
      </c>
    </row>
    <row r="168">
      <c r="B168" t="s">
        <v>1472</v>
      </c>
      <c r="J168" s="132"/>
      <c r="K168" s="85">
        <v>23.75</v>
      </c>
    </row>
    <row r="169">
      <c r="B169" t="s">
        <v>1473</v>
      </c>
      <c r="J169" s="132"/>
      <c r="K169" s="85">
        <v>25.25</v>
      </c>
    </row>
    <row r="170">
      <c r="B170" t="s">
        <v>1474</v>
      </c>
      <c r="J170" s="132"/>
      <c r="K170" s="85">
        <v>18.25</v>
      </c>
    </row>
  </sheetData>
  <pageMargins left="0.7" right="0.7" top="0.75" bottom="0.75" header="0.3" footer="0.3"/>
  <legacyDrawing r:id="rId2"/>
</worksheet>
</file>

<file path=ccalc/calcState.xml><?xml version="1.0" encoding="utf-8"?>
<calcState xmlns="urn:twentyai:ccalc:calc-state" version="1" digest="368ee32f40627dd33a0fc429b0beb9b9f9a267ff6a8f157086fdd72bddee67ce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2026-10-20T18:40:25Z</dcterms:created>
  <dcterms:modified xsi:type="dcterms:W3CDTF">2026-10-20T18:40:26Z</dcterms:modified>
  <cp:category/>
  <cp:contentStatus/>
</cp:coreProperties>
</file>