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Football field" sheetId="1" r:id="rId1"/>
    <sheet name="Banker ranges" sheetId="3" r:id="rId2"/>
    <sheet name="Comps" sheetId="2" r:id="rId3"/>
    <sheet name="Precedents" sheetId="4" r:id="rId4"/>
    <sheet name="DCF" sheetId="5" r:id="rId5"/>
    <sheet name="LBO" sheetId="6" r:id="rId6"/>
  </sheets>
  <calcPr/>
</workbook>
</file>

<file path=xl/comments2.xml><?xml version="1.0" encoding="utf-8"?>
<comments xmlns="http://schemas.openxmlformats.org/spreadsheetml/2006/main">
  <authors>
    <author>Compound</author>
  </authors>
  <commentList>
    <comment ref="D13" authorId="0">
      <text>
        <t xml:space="preserve">CWAN PJT - Fairness Opinion Deck to the Special Committee (2025-12-20).pdf (page 5)</t>
      </text>
    </comment>
    <comment ref="D19" authorId="0">
      <text>
        <t xml:space="preserve">CWAN PJT - Fairness Opinion Deck to the Special Committee (2025-12-20).pdf (page 26)</t>
      </text>
    </comment>
    <comment ref="D21" authorId="0">
      <text>
        <t xml:space="preserve">CWAN PJT - Fairness Opinion Deck to the Special Committee (2025-12-20).pdf (page 26)</t>
      </text>
    </comment>
    <comment ref="D34" authorId="0">
      <text>
        <t xml:space="preserve">CWAN DEFM14A Definitive Merger Proxy (filed 2026-04-08).pdf (page 16)</t>
      </text>
    </comment>
    <comment ref="D35" authorId="0">
      <text>
        <t xml:space="preserve">CWAN DEFM14A Definitive Merger Proxy (filed 2026-04-08).pdf (page 49)</t>
      </text>
    </comment>
    <comment ref="D8" authorId="0">
      <text>
        <t xml:space="preserve">Cited for D8:D9
CWAN PJT - Fairness Opinion Deck to the Special Committee (2025-12-20).pdf (page 5)</t>
      </text>
    </comment>
    <comment ref="F13" authorId="0">
      <text>
        <t xml:space="preserve">Cited for E13:F13
CWAN DEFM14A Definitive Merger Proxy (filed 2026-04-08).pdf (page 87)</t>
      </text>
    </comment>
    <comment ref="F17" authorId="0">
      <text>
        <t xml:space="preserve">Cited for E17:F17
CWAN DEFM14A Definitive Merger Proxy (filed 2026-04-08).pdf (page 85)</t>
      </text>
    </comment>
    <comment ref="F18" authorId="0">
      <text>
        <t xml:space="preserve">Cited for E18:F18
CWAN DEFM14A Definitive Merger Proxy (filed 2026-04-08).pdf (page 85)</t>
      </text>
    </comment>
    <comment ref="F20" authorId="0">
      <text>
        <t xml:space="preserve">Cited for E20:F20
CWAN PJT - Fairness Opinion Deck to the Special Committee (2025-12-20).pdf (page 27)</t>
      </text>
    </comment>
    <comment ref="F24" authorId="0">
      <text>
        <t xml:space="preserve">Cited for E24:F24
CWAN DEFM14A Definitive Merger Proxy (filed 2026-04-08).pdf (page 88)</t>
      </text>
    </comment>
    <comment ref="F25" authorId="0">
      <text>
        <t xml:space="preserve">Cited for E25:F25
CWAN PJT - Fairness Opinion Deck to the Special Committee (2025-12-20).pdf (page 5)</t>
      </text>
    </comment>
    <comment ref="F8" authorId="0">
      <text>
        <t xml:space="preserve">Cited for E8:F8
CWAN DEFM14A Definitive Merger Proxy (filed 2026-04-08).pdf (page 86)</t>
      </text>
    </comment>
    <comment ref="F9" authorId="0">
      <text>
        <t xml:space="preserve">Cited for E9:F9
CWAN DEFM14A Definitive Merger Proxy (filed 2026-04-08).pdf (page 86)</t>
      </text>
    </comment>
    <comment ref="H13" authorId="0">
      <text>
        <t xml:space="preserve">Cited for G13:H13
CWAN DEFM14A Definitive Merger Proxy (filed 2026-04-08).pdf (page 88)</t>
      </text>
    </comment>
    <comment ref="H17" authorId="0">
      <text>
        <t xml:space="preserve">Cited for G17:H17
CWAN DEFM14A Definitive Merger Proxy (filed 2026-04-08).pdf (page 86)</t>
      </text>
    </comment>
    <comment ref="H24" authorId="0">
      <text>
        <t xml:space="preserve">Cited for G24:H24
CWAN DEFM14A Definitive Merger Proxy (filed 2026-04-08).pdf (page 88)</t>
      </text>
    </comment>
    <comment ref="H25" authorId="0">
      <text>
        <t xml:space="preserve">Cited for G25:H25
CWAN DEFM14A Definitive Merger Proxy (filed 2026-04-08).pdf (page 88)</t>
      </text>
    </comment>
    <comment ref="H26" authorId="0">
      <text>
        <t xml:space="preserve">Cited for G26:H26
CWAN DEFM14A Definitive Merger Proxy (filed 2026-04-08).pdf (page 88)</t>
      </text>
    </comment>
    <comment ref="H27" authorId="0">
      <text>
        <t xml:space="preserve">Cited for G27:H27
CWAN DEFM14A Definitive Merger Proxy (filed 2026-04-08).pdf (page 89)</t>
      </text>
    </comment>
    <comment ref="H8" authorId="0">
      <text>
        <t xml:space="preserve">Cited for G8:H9
CWAN DEFM14A Definitive Merger Proxy (filed 2026-04-08).pdf (page 87)</t>
      </text>
    </comment>
    <comment ref="I10" authorId="0">
      <text>
        <t xml:space="preserve">CWAN J.P. Morgan - Fairness Opinion Deck to the Board (2025-12-20).pdf (page 3)</t>
      </text>
    </comment>
    <comment ref="I13" authorId="0">
      <text>
        <t xml:space="preserve">Cited for I13:I14
CWAN J.P. Morgan - Fairness Opinion Deck to the Board (2025-12-20).pdf (page 3)</t>
      </text>
    </comment>
    <comment ref="I19" authorId="0">
      <text>
        <t xml:space="preserve">CWAN J.P. Morgan - Fairness Opinion Deck to the Board (2025-12-20).pdf (page 6)</t>
      </text>
    </comment>
    <comment ref="I21" authorId="0">
      <text>
        <t xml:space="preserve">CWAN J.P. Morgan - Fairness Opinion Deck to the Board (2025-12-20).pdf (page 6)</t>
      </text>
    </comment>
    <comment ref="I8" authorId="0">
      <text>
        <t xml:space="preserve">CWAN J.P. Morgan - Fairness Opinion Deck to the Board (2025-12-20).pdf (page 3)</t>
      </text>
    </comment>
    <comment ref="K10" authorId="0">
      <text>
        <t xml:space="preserve">Cited for J10:K10
CWAN DEFM14A Definitive Merger Proxy (filed 2026-04-08).pdf (page 94)</t>
      </text>
    </comment>
    <comment ref="K13" authorId="0">
      <text>
        <t xml:space="preserve">Cited for J13:K13
CWAN DEFM14A Definitive Merger Proxy (filed 2026-04-08).pdf (page 95)</t>
      </text>
    </comment>
    <comment ref="K14" authorId="0">
      <text>
        <t xml:space="preserve">Cited for J14:K14
CWAN DEFM14A Definitive Merger Proxy (filed 2026-04-08).pdf (page 95)</t>
      </text>
    </comment>
    <comment ref="K17" authorId="0">
      <text>
        <t xml:space="preserve">Cited for J17:K17
CWAN DEFM14A Definitive Merger Proxy (filed 2026-04-08).pdf (page 95)</t>
      </text>
    </comment>
    <comment ref="K18" authorId="0">
      <text>
        <t xml:space="preserve">Cited for J18:K18
CWAN DEFM14A Definitive Merger Proxy (filed 2026-04-08).pdf (page 95)</t>
      </text>
    </comment>
    <comment ref="K20" authorId="0">
      <text>
        <t xml:space="preserve">Cited for J20:K20
CWAN J.P. Morgan - Fairness Opinion Deck to the Board (2025-12-20).pdf (page 6)</t>
      </text>
    </comment>
    <comment ref="K8" authorId="0">
      <text>
        <t xml:space="preserve">Cited for J8:K8
CWAN DEFM14A Definitive Merger Proxy (filed 2026-04-08).pdf (page 94)</t>
      </text>
    </comment>
    <comment ref="M10" authorId="0">
      <text>
        <t xml:space="preserve">Cited for L10:M10
CWAN DEFM14A Definitive Merger Proxy (filed 2026-04-08).pdf (page 94)</t>
      </text>
    </comment>
    <comment ref="M13" authorId="0">
      <text>
        <t xml:space="preserve">Cited for L13:M13
CWAN DEFM14A Definitive Merger Proxy (filed 2026-04-08).pdf (page 95)</t>
      </text>
    </comment>
    <comment ref="M14" authorId="0">
      <text>
        <t xml:space="preserve">Cited for L14:M14
CWAN DEFM14A Definitive Merger Proxy (filed 2026-04-08).pdf (page 95)</t>
      </text>
    </comment>
    <comment ref="M17" authorId="0">
      <text>
        <t xml:space="preserve">Cited for L17:M17
CWAN DEFM14A Definitive Merger Proxy (filed 2026-04-08).pdf (page 95)</t>
      </text>
    </comment>
    <comment ref="M26" authorId="0">
      <text>
        <t xml:space="preserve">Cited for L26:M27
CWAN J.P. Morgan - Fairness Opinion Deck to the Board (2025-12-20).pdf (page 3)</t>
      </text>
    </comment>
    <comment ref="M8" authorId="0">
      <text>
        <t xml:space="preserve">Cited for L8:M8
CWAN DEFM14A Definitive Merger Proxy (filed 2026-04-08).pdf (page 94)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AC12" authorId="0">
      <text>
        <t xml:space="preserve">GWRE close, 2025-09-08: 261.88 (data provided by Fiscal.ai)</t>
      </text>
    </comment>
    <comment ref="AC13" authorId="0">
      <text>
        <t xml:space="preserve">INTA close, 2025-02-13: 74.1 (data provided by Fiscal.ai)</t>
      </text>
    </comment>
    <comment ref="AC14" authorId="0">
      <text>
        <t xml:space="preserve">QTWO close, 2024-12-06: 110.85 (data provided by Fiscal.ai)</t>
      </text>
    </comment>
    <comment ref="AC15" authorId="0">
      <text>
        <t xml:space="preserve">CCC close, 2024-12-04: 12.75 (data provided by Fiscal.ai)</t>
      </text>
    </comment>
    <comment ref="AC16" authorId="0">
      <text>
        <t xml:space="preserve">NCNO close, 2024-11-11: 42.64 (data provided by Fiscal.ai)</t>
      </text>
    </comment>
    <comment ref="AC17" authorId="0">
      <text>
        <t xml:space="preserve">ALKT close, 2024-11-25: 42.22 (data provided by Fiscal.ai)</t>
      </text>
    </comment>
    <comment ref="AC18" authorId="0">
      <text>
        <t xml:space="preserve">SSNC close, 2025-08-22: 90.2 (data provided by Fiscal.ai)</t>
      </text>
    </comment>
    <comment ref="AC24" authorId="0">
      <text>
        <t xml:space="preserve">VEEV close, 2025-10-07: 306.22 (data provided by Fiscal.ai)</t>
      </text>
    </comment>
    <comment ref="AC25" authorId="0">
      <text>
        <t xml:space="preserve">Nemetschek SE close, 2025-08-08: 137.7 (data provided by Fiscal.ai)</t>
      </text>
    </comment>
    <comment ref="AC26" authorId="0">
      <text>
        <t xml:space="preserve">BSY close, 2025-07-28: 58.72 (data provided by Fiscal.ai)</t>
      </text>
    </comment>
    <comment ref="AC27" authorId="0">
      <text>
        <t xml:space="preserve">PCOR close, 2025-02-18: 88.33 (data provided by Fiscal.ai)</t>
      </text>
    </comment>
    <comment ref="AC28" authorId="0">
      <text>
        <t xml:space="preserve">CLBT close, 2025-02-05: 26 (data provided by Fiscal.ai)</t>
      </text>
    </comment>
    <comment ref="AC29" authorId="0">
      <text>
        <t xml:space="preserve">TYL close, 2025-02-13: 646.74 (data provided by Fiscal.ai)</t>
      </text>
    </comment>
    <comment ref="AC30" authorId="0">
      <text>
        <t xml:space="preserve">APPF close, 2025-08-04: 321.25 (data provided by Fiscal.ai)</t>
      </text>
    </comment>
    <comment ref="AC31" authorId="0">
      <text>
        <t xml:space="preserve">VERX close, 2025-01-28: 58.95 (data provided by Fiscal.ai)</t>
      </text>
    </comment>
    <comment ref="AC37" authorId="0">
      <text>
        <t xml:space="preserve">DSGX close, 2025-02-10: 175.34 (data provided by Fiscal.ai)</t>
      </text>
    </comment>
    <comment ref="AC38" authorId="0">
      <text>
        <t xml:space="preserve">ADSK close, 2025-09-08: 326.79 (data provided by Fiscal.ai)</t>
      </text>
    </comment>
    <comment ref="AC39" authorId="0">
      <text>
        <t xml:space="preserve">TEAM close, 2025-02-10: 322.94 (data provided by Fiscal.ai)</t>
      </text>
    </comment>
    <comment ref="AI8" authorId="0">
      <text>
        <t xml:space="preserve">Cited for AI8:AI9
CWAN PJT - Fairness Opinion Deck to the Special Committee (2025-12-20).pdf (page 4)</t>
      </text>
    </comment>
    <comment ref="AX12" authorId="0">
      <text>
        <t xml:space="preserve">GWRE total shares outstanding, 2025-11-28 (Common Stock): 85.02M (data provided by Fiscal.ai)</t>
      </text>
    </comment>
    <comment ref="AX13" authorId="0">
      <text>
        <t xml:space="preserve">INTA total shares outstanding, 2025-10-28 (Common Stock): 81.93M (data provided by Fiscal.ai)</t>
      </text>
    </comment>
    <comment ref="AX14" authorId="0">
      <text>
        <t xml:space="preserve">QTWO total shares outstanding, 2025-10-31 (Common Stock): 62.53M (data provided by Fiscal.ai)</t>
      </text>
    </comment>
    <comment ref="AX15" authorId="0">
      <text>
        <t xml:space="preserve">CCC total shares outstanding, 2025-10-23 (Common Stock): 642.02M (data provided by Fiscal.ai)</t>
      </text>
    </comment>
    <comment ref="AX16" authorId="0">
      <text>
        <t xml:space="preserve">NCNO total shares outstanding, 2025-11-28 (Common Stock): 114.68M (data provided by Fiscal.ai)</t>
      </text>
    </comment>
    <comment ref="AX17" authorId="0">
      <text>
        <t xml:space="preserve">ALKT total shares outstanding, 2025-09-30 (Common Stock): 105.00M (data provided by Fiscal.ai)</t>
      </text>
    </comment>
    <comment ref="AX18" authorId="0">
      <text>
        <t xml:space="preserve">SSNC total shares outstanding, 2025-10-23 (Common Stock): 244.03M (data provided by Fiscal.ai)</t>
      </text>
    </comment>
    <comment ref="AX24" authorId="0">
      <text>
        <t xml:space="preserve">VEEV total shares outstanding, 2025-11-19 (Class A): 164.38M (data provided by Fiscal.ai)</t>
      </text>
    </comment>
    <comment ref="AX25" authorId="0">
      <text>
        <t xml:space="preserve">Nemetschek SE total shares outstanding, 2025-06-30 (Bearer Shares): 115.47M (data provided by Fiscal.ai)</t>
      </text>
    </comment>
    <comment ref="AX26" authorId="0">
      <text>
        <t xml:space="preserve">BSY total shares outstanding, 2025-10-29 (Class B): 303.56M (data provided by Fiscal.ai)</t>
      </text>
    </comment>
    <comment ref="AX27" authorId="0">
      <text>
        <t xml:space="preserve">PCOR total shares outstanding, 2025-10-31 (Common Stock): 155.47M (data provided by Fiscal.ai)</t>
      </text>
    </comment>
    <comment ref="AX28" authorId="0">
      <text>
        <t xml:space="preserve">CLBT total shares outstanding, 2025-06-30 (Common Stock): 244.47M (data provided by Fiscal.ai)</t>
      </text>
    </comment>
    <comment ref="AX29" authorId="0">
      <text>
        <t xml:space="preserve">TYL total shares outstanding, 2025-10-27 (Common Stock): 43.03M (data provided by Fiscal.ai)</t>
      </text>
    </comment>
    <comment ref="AX30" authorId="0">
      <text>
        <t xml:space="preserve">APPF total shares outstanding, 2025-10-23 (Class A): 35.92M (data provided by Fiscal.ai)</t>
      </text>
    </comment>
    <comment ref="AX31" authorId="0">
      <text>
        <t xml:space="preserve">VERX total shares outstanding, 2025-10-30 (Class A): 159.53M (data provided by Fiscal.ai)</t>
      </text>
    </comment>
    <comment ref="AX37" authorId="0">
      <text>
        <t xml:space="preserve">DSGX total shares outstanding, 2025-12-03 (Common Stock): 85.99M (data provided by Fiscal.ai)</t>
      </text>
    </comment>
    <comment ref="AX38" authorId="0">
      <text>
        <t xml:space="preserve">ADSK total shares outstanding, 2025-11-20 (Common Stock): 212.00M (data provided by Fiscal.ai)</t>
      </text>
    </comment>
    <comment ref="AX39" authorId="0">
      <text>
        <t xml:space="preserve">TEAM total shares outstanding, 2025-10-24 (Class A Common Stock): 263.11M (data provided by Fiscal.ai)</t>
      </text>
    </comment>
    <comment ref="AY12" authorId="0">
      <text>
        <t xml:space="preserve">GWRE Diluted Weighted Average Shares Outstanding, Q1 2026 (standardized, Quarterly, income-statement): 86.45M (data provided by Fiscal.ai)</t>
      </text>
    </comment>
    <comment ref="AY13" authorId="0">
      <text>
        <t xml:space="preserve">INTA Diluted Weighted Average Shares Outstanding, Q1 2026 (standardized, Quarterly, income-statement): 81.88M (data provided by Fiscal.ai)</t>
      </text>
    </comment>
    <comment ref="AY14" authorId="0">
      <text>
        <t xml:space="preserve">QTWO Diluted Weighted Average Shares Outstanding, Q3 2025 (standardized, Quarterly, income-statement): 69.86M (data provided by Fiscal.ai)</t>
      </text>
    </comment>
    <comment ref="AY15" authorId="0">
      <text>
        <t xml:space="preserve">CCC Diluted Weighted Average Shares Outstanding, Q3 2025 (standardized, Quarterly, income-statement): 631.44M (data provided by Fiscal.ai)</t>
      </text>
    </comment>
    <comment ref="AY16" authorId="0">
      <text>
        <t xml:space="preserve">NCNO Diluted Weighted Average Shares Outstanding, Q3 2026 (standardized, Quarterly, income-statement): 115.83M (data provided by Fiscal.ai)</t>
      </text>
    </comment>
    <comment ref="AY17" authorId="0">
      <text>
        <t xml:space="preserve">ALKT Diluted Weighted Average Shares Outstanding, Q3 2025 (standardized, Quarterly, income-statement): 104.35M (data provided by Fiscal.ai)</t>
      </text>
    </comment>
    <comment ref="AY18" authorId="0">
      <text>
        <t xml:space="preserve">SSNC Diluted Weighted Average Shares Outstanding, Q3 2025 (standardized, Quarterly, income-statement): 252.60M (data provided by Fiscal.ai)</t>
      </text>
    </comment>
    <comment ref="AY24" authorId="0">
      <text>
        <t xml:space="preserve">VEEV Diluted Weighted Average Shares Outstanding, Q3 2026 (standardized, Quarterly, income-statement): 168.94M (data provided by Fiscal.ai)</t>
      </text>
    </comment>
    <comment ref="AY25" authorId="0">
      <text>
        <t xml:space="preserve">Nemetschek SE Diluted Weighted Average Shares Outstanding, Q3 2025 (standardized, Quarterly, income-statement): 115.48M (data provided by Fiscal.ai)</t>
      </text>
    </comment>
    <comment ref="AY26" authorId="0">
      <text>
        <t xml:space="preserve">BSY Diluted Weighted Average Shares Outstanding, Q3 2025 (standardized, Quarterly, income-statement): 333.28M (data provided by Fiscal.ai)</t>
      </text>
    </comment>
    <comment ref="AY27" authorId="0">
      <text>
        <t xml:space="preserve">PCOR Diluted Weighted Average Shares Outstanding, Q3 2025 (standardized, Quarterly, income-statement): 150.28M (data provided by Fiscal.ai)</t>
      </text>
    </comment>
    <comment ref="AY28" authorId="0">
      <text>
        <t xml:space="preserve">CLBT Diluted Weighted Average Shares Outstanding, Q3 2025 (standardized, Quarterly, income-statement): 249.72M (data provided by Fiscal.ai)</t>
      </text>
    </comment>
    <comment ref="AY29" authorId="0">
      <text>
        <t xml:space="preserve">TYL Diluted Weighted Average Shares Outstanding, Q3 2025 (standardized, Quarterly, income-statement): 43.83M (data provided by Fiscal.ai)</t>
      </text>
    </comment>
    <comment ref="AY30" authorId="0">
      <text>
        <t xml:space="preserve">APPF Diluted Weighted Average Shares Outstanding, Q3 2025 (standardized, Quarterly, income-statement): 36.26M (data provided by Fiscal.ai)</t>
      </text>
    </comment>
    <comment ref="AY31" authorId="0">
      <text>
        <t xml:space="preserve">VERX Diluted Weighted Average Shares Outstanding, Q3 2025 (standardized, Quarterly, income-statement): 81.86M (data provided by Fiscal.ai)</t>
      </text>
    </comment>
    <comment ref="AY37" authorId="0">
      <text>
        <t xml:space="preserve">DSGX Diluted Weighted Average Shares Outstanding, Q3 2026 (standardized, Quarterly, income-statement): 87.61M (data provided by Fiscal.ai)</t>
      </text>
    </comment>
    <comment ref="AY38" authorId="0">
      <text>
        <t xml:space="preserve">ADSK Diluted Weighted Average Shares Outstanding, Q3 2026 (standardized, Quarterly, income-statement): 215.00M (data provided by Fiscal.ai)</t>
      </text>
    </comment>
    <comment ref="AY39" authorId="0">
      <text>
        <t xml:space="preserve">TEAM Diluted Weighted Average Shares Outstanding, Q1 2026 (standardized, Quarterly, income-statement): 262.99M (data provided by Fiscal.ai)</t>
      </text>
    </comment>
    <comment ref="AZ12" authorId="0">
      <text>
        <t xml:space="preserve">GWRE Basic Weighted Average Shares Outstanding, Q1 2026 (standardized, Quarterly, income-statement): 84.78M (data provided by Fiscal.ai)</t>
      </text>
    </comment>
    <comment ref="AZ13" authorId="0">
      <text>
        <t xml:space="preserve">INTA Basic Weighted Average Shares Outstanding, Q1 2026 (standardized, Quarterly, income-statement): 81.88M (data provided by Fiscal.ai)</t>
      </text>
    </comment>
    <comment ref="AZ14" authorId="0">
      <text>
        <t xml:space="preserve">QTWO Basic Weighted Average Shares Outstanding, Q3 2025 (standardized, Quarterly, income-statement): 62.46M (data provided by Fiscal.ai)</t>
      </text>
    </comment>
    <comment ref="AZ15" authorId="0">
      <text>
        <t xml:space="preserve">CCC Basic Weighted Average Shares Outstanding, Q3 2025 (standardized, Quarterly, income-statement): 631.44M (data provided by Fiscal.ai)</t>
      </text>
    </comment>
    <comment ref="AZ16" authorId="0">
      <text>
        <t xml:space="preserve">NCNO Basic Weighted Average Shares Outstanding, Q3 2026 (standardized, Quarterly, income-statement): 114.41M (data provided by Fiscal.ai)</t>
      </text>
    </comment>
    <comment ref="AZ17" authorId="0">
      <text>
        <t xml:space="preserve">ALKT Basic Weighted Average Shares Outstanding, Q3 2025 (standardized, Quarterly, income-statement): 104.35M (data provided by Fiscal.ai)</t>
      </text>
    </comment>
    <comment ref="AZ18" authorId="0">
      <text>
        <t xml:space="preserve">SSNC Basic Weighted Average Shares Outstanding, Q3 2025 (standardized, Quarterly, income-statement): 243.80M (data provided by Fiscal.ai)</t>
      </text>
    </comment>
    <comment ref="AZ24" authorId="0">
      <text>
        <t xml:space="preserve">VEEV Basic Weighted Average Shares Outstanding, Q3 2026 (standardized, Quarterly, income-statement): 164.05M (data provided by Fiscal.ai)</t>
      </text>
    </comment>
    <comment ref="AZ25" authorId="0">
      <text>
        <t xml:space="preserve">Nemetschek SE Basic Weighted Average Shares Outstanding, Q3 2025 (standardized, Quarterly, income-statement): 115.48M (data provided by Fiscal.ai)</t>
      </text>
    </comment>
    <comment ref="AZ26" authorId="0">
      <text>
        <t xml:space="preserve">BSY Basic Weighted Average Shares Outstanding, Q3 2025 (standardized, Quarterly, income-statement): 314.63M (data provided by Fiscal.ai)</t>
      </text>
    </comment>
    <comment ref="AZ27" authorId="0">
      <text>
        <t xml:space="preserve">PCOR Basic Weighted Average Shares Outstanding, Q3 2025 (standardized, Quarterly, income-statement): 150.28M (data provided by Fiscal.ai)</t>
      </text>
    </comment>
    <comment ref="AZ28" authorId="0">
      <text>
        <t xml:space="preserve">CLBT Basic Weighted Average Shares Outstanding, Q3 2025 (standardized, Quarterly, income-statement): 243.51M (data provided by Fiscal.ai)</t>
      </text>
    </comment>
    <comment ref="AZ29" authorId="0">
      <text>
        <t xml:space="preserve">TYL Basic Weighted Average Shares Outstanding, Q3 2025 (standardized, Quarterly, income-statement): 43.14M (data provided by Fiscal.ai)</t>
      </text>
    </comment>
    <comment ref="AZ30" authorId="0">
      <text>
        <t xml:space="preserve">APPF Basic Weighted Average Shares Outstanding, Q3 2025 (standardized, Quarterly, income-statement): 35.89M (data provided by Fiscal.ai)</t>
      </text>
    </comment>
    <comment ref="AZ31" authorId="0">
      <text>
        <t xml:space="preserve">VERX Basic Weighted Average Shares Outstanding, Q3 2025 (standardized, Quarterly, income-statement): 77.36M (data provided by Fiscal.ai)</t>
      </text>
    </comment>
    <comment ref="AZ37" authorId="0">
      <text>
        <t xml:space="preserve">DSGX Basic Weighted Average Shares Outstanding, Q3 2026 (standardized, Quarterly, income-statement): 85.96M (data provided by Fiscal.ai)</t>
      </text>
    </comment>
    <comment ref="AZ38" authorId="0">
      <text>
        <t xml:space="preserve">ADSK Basic Weighted Average Shares Outstanding, Q3 2026 (standardized, Quarterly, income-statement): 213.00M (data provided by Fiscal.ai)</t>
      </text>
    </comment>
    <comment ref="AZ39" authorId="0">
      <text>
        <t xml:space="preserve">TEAM Basic Weighted Average Shares Outstanding, Q1 2026 (standardized, Quarterly, income-statement): 262.99M (data provided by Fiscal.ai)</t>
      </text>
    </comment>
    <comment ref="BA31" authorId="0">
      <text>
        <t xml:space="preserve">Vertex, Inc. 10-Q (2025-09-30) verx-20250930x10q.htm</t>
      </text>
    </comment>
    <comment ref="BB14" authorId="0">
      <text>
        <t xml:space="preserve">Q2 Holdings, Inc. 10-Q (2025-09-30) qtwo-20250930.htm</t>
      </text>
    </comment>
    <comment ref="BB26" authorId="0">
      <text>
        <t xml:space="preserve">BENTLEY SYSTEMS INC 10-Q (2025-09-30) bsy-20250930.htm</t>
      </text>
    </comment>
    <comment ref="BC14" authorId="0">
      <text>
        <t xml:space="preserve">QTWO Current Portion of Long-Term Debt, Q3 2025 (standardized, Quarterly, balance-sheet): 493.93M (data provided by Fiscal.ai)</t>
      </text>
    </comment>
    <comment ref="BC15" authorId="0">
      <text>
        <t xml:space="preserve">CCC Current Portion of Long-Term Debt, Q3 2025 (standardized, Quarterly, balance-sheet): 10.01M (data provided by Fiscal.ai)</t>
      </text>
    </comment>
    <comment ref="BC18" authorId="0">
      <text>
        <t xml:space="preserve">SSNC Current Portion of Long-Term Debt, Q3 2025 (standardized, Quarterly, balance-sheet): 20.00M (data provided by Fiscal.ai)</t>
      </text>
    </comment>
    <comment ref="BC29" authorId="0">
      <text>
        <t xml:space="preserve">TYL Current Portion of Long-Term Debt, Q3 2025 (standardized, Quarterly, balance-sheet): 599.23M (data provided by Fiscal.ai)</t>
      </text>
    </comment>
    <comment ref="BD15" authorId="0">
      <text>
        <t xml:space="preserve">CCC Short-Term Debt, Q3 2025 (standardized, Quarterly, balance-sheet): 24.45M (data provided by Fiscal.ai)</t>
      </text>
    </comment>
    <comment ref="BE12" authorId="0">
      <text>
        <t xml:space="preserve">GWRE Long-Term Debt, Q1 2026 (standardized, Quarterly, balance-sheet): 675.44M (data provided by Fiscal.ai)</t>
      </text>
    </comment>
    <comment ref="BE15" authorId="0">
      <text>
        <t xml:space="preserve">CCC Long-Term Debt, Q3 2025 (standardized, Quarterly, balance-sheet): 971.21M (data provided by Fiscal.ai)</t>
      </text>
    </comment>
    <comment ref="BE16" authorId="0">
      <text>
        <t xml:space="preserve">NCNO Long-Term Debt, Q3 2026 (standardized, Quarterly, balance-sheet): 203.50M (data provided by Fiscal.ai)</t>
      </text>
    </comment>
    <comment ref="BE17" authorId="0">
      <text>
        <t xml:space="preserve">ALKT Long-Term Debt, Q3 2025 (standardized, Quarterly, balance-sheet): 360.72M (data provided by Fiscal.ai)</t>
      </text>
    </comment>
    <comment ref="BE18" authorId="0">
      <text>
        <t xml:space="preserve">SSNC Long-Term Debt, Q3 2025 (standardized, Quarterly, balance-sheet): 6.57B (data provided by Fiscal.ai)</t>
      </text>
    </comment>
    <comment ref="BE25" authorId="0">
      <text>
        <t xml:space="preserve">Nemetschek SE Long-Term Debt, Q3 2025 (standardized, Quarterly, balance-sheet): 449.52M (data provided by Fiscal.ai)</t>
      </text>
    </comment>
    <comment ref="BE26" authorId="0">
      <text>
        <t xml:space="preserve">BSY Long-Term Debt, Q3 2025 (standardized, Quarterly, balance-sheet): 1.25B (data provided by Fiscal.ai)</t>
      </text>
    </comment>
    <comment ref="BE31" authorId="0">
      <text>
        <t xml:space="preserve">VERX Long-Term Debt, Q3 2025 (standardized, Quarterly, balance-sheet): 336.91M (data provided by Fiscal.ai)</t>
      </text>
    </comment>
    <comment ref="BE38" authorId="0">
      <text>
        <t xml:space="preserve">ADSK Long-Term Debt, Q3 2026 (standardized, Quarterly, balance-sheet): 2.48B (data provided by Fiscal.ai)</t>
      </text>
    </comment>
    <comment ref="BE39" authorId="0">
      <text>
        <t xml:space="preserve">TEAM Long-Term Debt, Q1 2026 (standardized, Quarterly, balance-sheet): 988.14M (data provided by Fiscal.ai)</t>
      </text>
    </comment>
    <comment ref="BF16" authorId="0">
      <text>
        <t xml:space="preserve">NCNO Minority Interests and Other, Q3 2026 (standardized, Quarterly, balance-sheet): 12.44M (data provided by Fiscal.ai)</t>
      </text>
    </comment>
    <comment ref="BF18" authorId="0">
      <text>
        <t xml:space="preserve">SSNC Minority Interests and Other, Q3 2025 (standardized, Quarterly, balance-sheet): 53.30M (data provided by Fiscal.ai)</t>
      </text>
    </comment>
    <comment ref="BF25" authorId="0">
      <text>
        <t xml:space="preserve">Nemetschek SE Minority Interests and Other, Q3 2025 (standardized, Quarterly, balance-sheet): 35.73M (data provided by Fiscal.ai)</t>
      </text>
    </comment>
    <comment ref="BF26" authorId="0">
      <text>
        <t xml:space="preserve">BSY Minority Interests and Other, Q3 2025 (standardized, Quarterly, balance-sheet): 47000 (data provided by Fiscal.ai)</t>
      </text>
    </comment>
    <comment ref="BG12" authorId="0">
      <text>
        <t xml:space="preserve">GWRE Cash and Cash Equivalents, Q1 2026 (standardized, Quarterly, balance-sheet): 492.04M (data provided by Fiscal.ai)</t>
      </text>
    </comment>
    <comment ref="BG13" authorId="0">
      <text>
        <t xml:space="preserve">INTA Cash and Cash Equivalents, Q1 2026 (standardized, Quarterly, balance-sheet): 273.44M (data provided by Fiscal.ai)</t>
      </text>
    </comment>
    <comment ref="BG14" authorId="0">
      <text>
        <t xml:space="preserve">QTWO Cash and Cash Equivalents, Q3 2025 (standardized, Quarterly, balance-sheet): 472.39M (data provided by Fiscal.ai)</t>
      </text>
    </comment>
    <comment ref="BG15" authorId="0">
      <text>
        <t xml:space="preserve">CCC Cash and Cash Equivalents, Q3 2025 (standardized, Quarterly, balance-sheet): 97.14M (data provided by Fiscal.ai)</t>
      </text>
    </comment>
    <comment ref="BG16" authorId="0">
      <text>
        <t xml:space="preserve">NCNO Cash and Cash Equivalents, Q3 2026 (standardized, Quarterly, balance-sheet): 87.59M (data provided by Fiscal.ai)</t>
      </text>
    </comment>
    <comment ref="BG17" authorId="0">
      <text>
        <t xml:space="preserve">ALKT Cash and Cash Equivalents, Q3 2025 (standardized, Quarterly, balance-sheet): 57.32M (data provided by Fiscal.ai)</t>
      </text>
    </comment>
    <comment ref="BG18" authorId="0">
      <text>
        <t xml:space="preserve">SSNC Cash and Cash Equivalents, Q3 2025 (standardized, Quarterly, balance-sheet): 388.30M (data provided by Fiscal.ai)</t>
      </text>
    </comment>
    <comment ref="BG24" authorId="0">
      <text>
        <t xml:space="preserve">VEEV Cash and Cash Equivalents, Q3 2026 (standardized, Quarterly, balance-sheet): 1.66B (data provided by Fiscal.ai)</t>
      </text>
    </comment>
    <comment ref="BG25" authorId="0">
      <text>
        <t xml:space="preserve">Nemetschek SE Cash and Cash Equivalents, Q3 2025 (standardized, Quarterly, balance-sheet): 307.50M (data provided by Fiscal.ai)</t>
      </text>
    </comment>
    <comment ref="BG26" authorId="0">
      <text>
        <t xml:space="preserve">BSY Cash and Cash Equivalents, Q3 2025 (standardized, Quarterly, balance-sheet): 165.41M (data provided by Fiscal.ai)</t>
      </text>
    </comment>
    <comment ref="BG27" authorId="0">
      <text>
        <t xml:space="preserve">PCOR Cash and Cash Equivalents, Q3 2025 (standardized, Quarterly, balance-sheet): 350.50M (data provided by Fiscal.ai)</t>
      </text>
    </comment>
    <comment ref="BG28" authorId="0">
      <text>
        <t xml:space="preserve">CLBT Cash and Cash Equivalents, Q3 2025 (standardized, Quarterly, balance-sheet): 281.36M (data provided by Fiscal.ai)</t>
      </text>
    </comment>
    <comment ref="BG29" authorId="0">
      <text>
        <t xml:space="preserve">TYL Cash and Cash Equivalents, Q3 2025 (standardized, Quarterly, balance-sheet): 834.10M (data provided by Fiscal.ai)</t>
      </text>
    </comment>
    <comment ref="BG30" authorId="0">
      <text>
        <t xml:space="preserve">APPF Cash and Cash Equivalents, Q3 2025 (standardized, Quarterly, balance-sheet): 76.09M (data provided by Fiscal.ai)</t>
      </text>
    </comment>
    <comment ref="BG31" authorId="0">
      <text>
        <t xml:space="preserve">VERX Cash and Cash Equivalents, Q3 2025 (standardized, Quarterly, balance-sheet): 313.51M (data provided by Fiscal.ai)</t>
      </text>
    </comment>
    <comment ref="BG37" authorId="0">
      <text>
        <t xml:space="preserve">DSGX Cash and Cash Equivalents, Q3 2026 (standardized, Quarterly, balance-sheet): 278.79M (data provided by Fiscal.ai)</t>
      </text>
    </comment>
    <comment ref="BG38" authorId="0">
      <text>
        <t xml:space="preserve">ADSK Cash and Cash Equivalents, Q3 2026 (standardized, Quarterly, balance-sheet): 1.99B (data provided by Fiscal.ai)</t>
      </text>
    </comment>
    <comment ref="BG39" authorId="0">
      <text>
        <t xml:space="preserve">TEAM Cash and Cash Equivalents, Q1 2026 (standardized, Quarterly, balance-sheet): 2.32B (data provided by Fiscal.ai)</t>
      </text>
    </comment>
    <comment ref="BH12" authorId="0">
      <text>
        <t xml:space="preserve">GWRE Short-Term Investments, Q1 2026 (standardized, Quarterly, balance-sheet): 519.86M (data provided by Fiscal.ai)</t>
      </text>
    </comment>
    <comment ref="BH17" authorId="0">
      <text>
        <t xml:space="preserve">ALKT Short-Term Investments, Q3 2025 (standardized, Quarterly, balance-sheet): 33.60M (data provided by Fiscal.ai)</t>
      </text>
    </comment>
    <comment ref="BH24" authorId="0">
      <text>
        <t xml:space="preserve">VEEV Short-Term Investments, Q3 2026 (standardized, Quarterly, balance-sheet): 4.98B (data provided by Fiscal.ai)</t>
      </text>
    </comment>
    <comment ref="BH27" authorId="0">
      <text>
        <t xml:space="preserve">PCOR Short-Term Investments, Q3 2025 (standardized, Quarterly, balance-sheet): 333.48M (data provided by Fiscal.ai)</t>
      </text>
    </comment>
    <comment ref="BH28" authorId="0">
      <text>
        <t xml:space="preserve">CLBT Short-Term Investments, Q3 2025 (standardized, Quarterly, balance-sheet): 244.35M (data provided by Fiscal.ai)</t>
      </text>
    </comment>
    <comment ref="BH29" authorId="0">
      <text>
        <t xml:space="preserve">TYL Short-Term Investments, Q3 2025 (standardized, Quarterly, balance-sheet): 116.72M (data provided by Fiscal.ai)</t>
      </text>
    </comment>
    <comment ref="BH30" authorId="0">
      <text>
        <t xml:space="preserve">APPF Short-Term Investments, Q3 2025 (standardized, Quarterly, balance-sheet): 124.06M (data provided by Fiscal.ai)</t>
      </text>
    </comment>
    <comment ref="BH38" authorId="0">
      <text>
        <t xml:space="preserve">ADSK Short-Term Investments, Q3 2026 (standardized, Quarterly, balance-sheet): 300.00M (data provided by Fiscal.ai)</t>
      </text>
    </comment>
    <comment ref="BH39" authorId="0">
      <text>
        <t xml:space="preserve">TEAM Short-Term Investments, Q1 2026 (standardized, Quarterly, balance-sheet): 456.04M (data provided by Fiscal.ai)</t>
      </text>
    </comment>
    <comment ref="BJ12" authorId="0">
      <text>
        <t xml:space="preserve">Cited for BI12:BJ18
CWAN PJT - Fairness Opinion Deck to the Special Committee (2025-12-20).pdf (page 23)</t>
      </text>
    </comment>
    <comment ref="BJ24" authorId="0">
      <text>
        <t xml:space="preserve">Cited for BI24:BJ24
CWAN PJT - Fairness Opinion Deck to the Special Committee (2025-12-20).pdf (page 23)</t>
      </text>
    </comment>
    <comment ref="BJ27" authorId="0">
      <text>
        <t xml:space="preserve">Cited for BI27:BJ27
CWAN PJT - Fairness Opinion Deck to the Special Committee (2025-12-20).pdf (page 23)</t>
      </text>
    </comment>
    <comment ref="BJ29" authorId="0">
      <text>
        <t xml:space="preserve">Cited for BI29:BJ29
CWAN PJT - Fairness Opinion Deck to the Special Committee (2025-12-20).pdf (page 23)</t>
      </text>
    </comment>
    <comment ref="BJ31" authorId="0">
      <text>
        <t xml:space="preserve">Cited for BI31:BJ31
CWAN PJT - Fairness Opinion Deck to the Special Committee (2025-12-20).pdf (page 23)</t>
      </text>
    </comment>
    <comment ref="BN12" authorId="0">
      <text>
        <t xml:space="preserve">Cited for BK12:BN12
CWAN J.P. Morgan - Fairness Opinion Deck to the Board (2025-12-20).pdf (page 4)</t>
      </text>
    </comment>
    <comment ref="BN13" authorId="0">
      <text>
        <t xml:space="preserve">CWAN J.P. Morgan - Independent Directors Discussion (2025-10-20).pdf (page 20)</t>
      </text>
    </comment>
    <comment ref="BN14" authorId="0">
      <text>
        <t xml:space="preserve">Cited for BK14:BN14
CWAN J.P. Morgan - Fairness Opinion Deck to the Board (2025-12-20).pdf (page 4)</t>
      </text>
    </comment>
    <comment ref="BN15" authorId="0">
      <text>
        <t xml:space="preserve">CWAN J.P. Morgan - Independent Directors Discussion (2025-10-20).pdf (page 20)</t>
      </text>
    </comment>
    <comment ref="BN16" authorId="0">
      <text>
        <t xml:space="preserve">Cited for BK16:BN17
CWAN J.P. Morgan - Fairness Opinion Deck to the Board (2025-12-20).pdf (page 4)</t>
      </text>
    </comment>
    <comment ref="BN18" authorId="0">
      <text>
        <t xml:space="preserve">CWAN J.P. Morgan - Independent Directors Discussion (2025-10-20).pdf (page 24)</t>
      </text>
    </comment>
    <comment ref="BN24" authorId="0">
      <text>
        <t xml:space="preserve">Cited for BK24:BN28
CWAN J.P. Morgan - Fairness Opinion Deck to the Board (2025-12-20).pdf (page 4)</t>
      </text>
    </comment>
    <comment ref="BN29" authorId="0">
      <text>
        <t xml:space="preserve">CWAN J.P. Morgan - Independent Directors Discussion (2025-10-20).pdf (page 20)</t>
      </text>
    </comment>
    <comment ref="BN30" authorId="0">
      <text>
        <t xml:space="preserve">Cited for BK30:BN30
CWAN J.P. Morgan - Fairness Opinion Deck to the Board (2025-12-20).pdf (page 4)</t>
      </text>
    </comment>
    <comment ref="BN37" authorId="0">
      <text>
        <t xml:space="preserve">Cited for BK37:BN39
CWAN J.P. Morgan - Fairness Opinion Deck to the Board (2025-12-20).pdf (page 4)</t>
      </text>
    </comment>
    <comment ref="BO12" authorId="0">
      <text>
        <t xml:space="preserve">GWRE Total Revenues, Q4 2024 (standardized, Annual, income-statement): 980.50M (data provided by Fiscal.ai)</t>
      </text>
    </comment>
    <comment ref="BO13" authorId="0">
      <text>
        <t xml:space="preserve">INTA Total Revenues, Q4 2024 (standardized, Annual, income-statement): 430.52M (data provided by Fiscal.ai)</t>
      </text>
    </comment>
    <comment ref="BO14" authorId="0">
      <text>
        <t xml:space="preserve">QTWO Total Revenues, Q4 2024 (standardized, Annual, income-statement): 696.46M (data provided by Fiscal.ai)</t>
      </text>
    </comment>
    <comment ref="BO15" authorId="0">
      <text>
        <t xml:space="preserve">CCC Total Revenues, Q4 2024 (standardized, Annual, income-statement): 944.80M (data provided by Fiscal.ai)</t>
      </text>
    </comment>
    <comment ref="BO16" authorId="0">
      <text>
        <t xml:space="preserve">NCNO Total Revenues, Q4 2025 (standardized, Annual, income-statement): 540.66M (data provided by Fiscal.ai)</t>
      </text>
    </comment>
    <comment ref="BO17" authorId="0">
      <text>
        <t xml:space="preserve">ALKT Total Revenues, Q4 2024 (standardized, Annual, income-statement): 333.85M (data provided by Fiscal.ai)</t>
      </text>
    </comment>
    <comment ref="BO18" authorId="0">
      <text>
        <t xml:space="preserve">SSNC Total Revenues, Q4 2024 (standardized, Annual, income-statement): 5.88B (data provided by Fiscal.ai)</t>
      </text>
    </comment>
    <comment ref="BO24" authorId="0">
      <text>
        <t xml:space="preserve">VEEV Total Revenues, Q4 2025 (standardized, Annual, income-statement): 2.75B (data provided by Fiscal.ai)</t>
      </text>
    </comment>
    <comment ref="BO25" authorId="0">
      <text>
        <t xml:space="preserve">Nemetschek SE Total Revenues, Q4 2024 (standardized, Annual, income-statement): 995.56M (data provided by Fiscal.ai)</t>
      </text>
    </comment>
    <comment ref="BO26" authorId="0">
      <text>
        <t xml:space="preserve">BSY Total Revenues, Q4 2024 (standardized, Annual, income-statement): 1.35B (data provided by Fiscal.ai)</t>
      </text>
    </comment>
    <comment ref="BO27" authorId="0">
      <text>
        <t xml:space="preserve">PCOR Total Revenues, Q4 2024 (standardized, Annual, income-statement): 1.15B (data provided by Fiscal.ai)</t>
      </text>
    </comment>
    <comment ref="BO28" authorId="0">
      <text>
        <t xml:space="preserve">CLBT Total Revenues, Q4 2024 (standardized, Annual, income-statement): 401.20M (data provided by Fiscal.ai)</t>
      </text>
    </comment>
    <comment ref="BO29" authorId="0">
      <text>
        <t xml:space="preserve">TYL Total Revenues, Q4 2024 (standardized, Annual, income-statement): 2.14B (data provided by Fiscal.ai)</t>
      </text>
    </comment>
    <comment ref="BO30" authorId="0">
      <text>
        <t xml:space="preserve">APPF Total Revenues, Q4 2024 (standardized, Annual, income-statement): 794.20M (data provided by Fiscal.ai)</t>
      </text>
    </comment>
    <comment ref="BO31" authorId="0">
      <text>
        <t xml:space="preserve">VERX Total Revenues, Q4 2024 (standardized, Annual, income-statement): 666.78M (data provided by Fiscal.ai)</t>
      </text>
    </comment>
    <comment ref="BO37" authorId="0">
      <text>
        <t xml:space="preserve">DSGX Total Revenues, Q4 2025 (standardized, Annual, income-statement): 651.00M (data provided by Fiscal.ai)</t>
      </text>
    </comment>
    <comment ref="BO38" authorId="0">
      <text>
        <t xml:space="preserve">ADSK Total Revenues, Q4 2025 (standardized, Annual, income-statement): 6.13B (data provided by Fiscal.ai)</t>
      </text>
    </comment>
    <comment ref="BO39" authorId="0">
      <text>
        <t xml:space="preserve">TEAM Total Revenues, Q4 2024 (standardized, Annual, income-statement): 4.36B (data provided by Fiscal.ai)</t>
      </text>
    </comment>
    <comment ref="BP12" authorId="0">
      <text>
        <t xml:space="preserve">GWRE Total Revenues, Q4 2025 (standardized, Annual, income-statement): 1.20B (data provided by Fiscal.ai)</t>
      </text>
    </comment>
    <comment ref="BP13" authorId="0">
      <text>
        <t xml:space="preserve">INTA Total Revenues, Q4 2025 (standardized, Annual, income-statement): 504.12M (data provided by Fiscal.ai)</t>
      </text>
    </comment>
    <comment ref="BP39" authorId="0">
      <text>
        <t xml:space="preserve">TEAM Total Revenues, Q4 2025 (standardized, Annual, income-statement): 5.22B (data provided by Fiscal.ai)</t>
      </text>
    </comment>
    <comment ref="BR12" authorId="0">
      <text>
        <t xml:space="preserve">Cited for BR12:BR18
CWAN PJT - Fairness Opinion Deck to the Special Committee (2025-12-20).pdf (page 23)</t>
      </text>
    </comment>
    <comment ref="BR24" authorId="0">
      <text>
        <t xml:space="preserve">CWAN PJT - Fairness Opinion Deck to the Special Committee (2025-12-20).pdf (page 23)</t>
      </text>
    </comment>
    <comment ref="BR27" authorId="0">
      <text>
        <t xml:space="preserve">CWAN PJT - Fairness Opinion Deck to the Special Committee (2025-12-20).pdf (page 23)</t>
      </text>
    </comment>
    <comment ref="BR29" authorId="0">
      <text>
        <t xml:space="preserve">CWAN PJT - Fairness Opinion Deck to the Special Committee (2025-12-20).pdf (page 23)</t>
      </text>
    </comment>
    <comment ref="BR31" authorId="0">
      <text>
        <t xml:space="preserve">CWAN PJT - Fairness Opinion Deck to the Special Committee (2025-12-20).pdf (page 23)</t>
      </text>
    </comment>
    <comment ref="BT12" authorId="0">
      <text>
        <t xml:space="preserve">Cited for BT12:BT18
CWAN PJT - Fairness Opinion Deck to the Special Committee (2025-12-20).pdf (page 23)</t>
      </text>
    </comment>
    <comment ref="BT24" authorId="0">
      <text>
        <t xml:space="preserve">CWAN PJT - Fairness Opinion Deck to the Special Committee (2025-12-20).pdf (page 23)</t>
      </text>
    </comment>
    <comment ref="BT27" authorId="0">
      <text>
        <t xml:space="preserve">CWAN PJT - Fairness Opinion Deck to the Special Committee (2025-12-20).pdf (page 23)</t>
      </text>
    </comment>
    <comment ref="BT29" authorId="0">
      <text>
        <t xml:space="preserve">CWAN PJT - Fairness Opinion Deck to the Special Committee (2025-12-20).pdf (page 23)</t>
      </text>
    </comment>
    <comment ref="BT31" authorId="0">
      <text>
        <t xml:space="preserve">CWAN PJT - Fairness Opinion Deck to the Special Committee (2025-12-20).pdf (page 23)</t>
      </text>
    </comment>
    <comment ref="BT8" authorId="0">
      <text>
        <t xml:space="preserve">Cited for BT8:BT9
CWAN PJT - Fairness Opinion Deck to the Special Committee (2025-12-20).pdf (page 23)</t>
      </text>
    </comment>
    <comment ref="D57" authorId="0">
      <text>
        <t xml:space="preserve">CWAN PJT - Fairness Opinion Deck to the Special Committee (2025-12-20).pdf (page 10)</t>
      </text>
    </comment>
    <comment ref="X57" authorId="0">
      <text>
        <t xml:space="preserve">CWAN DEFM14A Definitive Merger Proxy (filed 2026-04-08).pdf (page 49)</t>
      </text>
    </comment>
    <comment ref="X58" authorId="0">
      <text>
        <t xml:space="preserve">CWAN PJT - Fairness Opinion Deck to the Special Committee (2025-12-20).pdf (page 4)</t>
      </text>
    </comment>
    <comment ref="X60" authorId="0">
      <text>
        <t xml:space="preserve">Cited for X60:X69
CWAN PJT - Fairness Opinion Deck to the Special Committee (2025-12-20).pdf (page 14)</t>
      </text>
    </comment>
    <comment ref="X70" authorId="0">
      <text>
        <t xml:space="preserve">CWAN Earnings Release FY2024 Q4 (issued 2025-02-19).pdf (page 8)</t>
      </text>
    </comment>
    <comment ref="X71" authorId="0">
      <text>
        <t xml:space="preserve">Cited for X71:X74
CWAN PJT - Fairness Opinion Deck to the Special Committee (2025-12-20).pdf (page 16)</t>
      </text>
    </comment>
    <comment ref="X75" authorId="0">
      <text>
        <t xml:space="preserve">Cited for X75:X78
CWAN PJT - Fairness Opinion Deck to the Special Committee (2025-12-20).pdf (page 15)</t>
      </text>
    </comment>
    <comment ref="X79" authorId="0">
      <text>
        <t xml:space="preserve">Table Data - U.S. Dollars to Euro Spot Exchange Rate</t>
      </text>
    </comment>
    <comment ref="X80" authorId="0">
      <text>
        <t xml:space="preserve">Table Data - Canadian Dollars to U.S. Dollar Spot Exchange Rate</t>
      </text>
    </comment>
    <comment ref="Z12" authorId="0">
      <text>
        <t xml:space="preserve">GWRE close, 2025-11-10: 217.77 (data provided by Fiscal.ai)</t>
      </text>
    </comment>
    <comment ref="Z13" authorId="0">
      <text>
        <t xml:space="preserve">INTA close, 2025-11-10: 40.19 (data provided by Fiscal.ai)</t>
      </text>
    </comment>
    <comment ref="Z14" authorId="0">
      <text>
        <t xml:space="preserve">QTWO close, 2025-11-10: 73.19 (data provided by Fiscal.ai)</t>
      </text>
    </comment>
    <comment ref="Z15" authorId="0">
      <text>
        <t xml:space="preserve">CCC close, 2025-11-10: 7.49 (data provided by Fiscal.ai)</t>
      </text>
    </comment>
    <comment ref="Z16" authorId="0">
      <text>
        <t xml:space="preserve">NCNO close, 2025-11-10: 26.21 (data provided by Fiscal.ai)</t>
      </text>
    </comment>
    <comment ref="Z17" authorId="0">
      <text>
        <t xml:space="preserve">ALKT close, 2025-11-10: 19.69 (data provided by Fiscal.ai)</t>
      </text>
    </comment>
    <comment ref="Z18" authorId="0">
      <text>
        <t xml:space="preserve">SSNC close, 2025-11-10: 84.89 (data provided by Fiscal.ai)</t>
      </text>
    </comment>
    <comment ref="Z24" authorId="0">
      <text>
        <t xml:space="preserve">VEEV close, 2025-11-10: 295.75 (data provided by Fiscal.ai)</t>
      </text>
    </comment>
    <comment ref="Z25" authorId="0">
      <text>
        <t xml:space="preserve">Nemetschek SE close, 2025-11-10: 92.9 (data provided by Fiscal.ai)</t>
      </text>
    </comment>
    <comment ref="Z26" authorId="0">
      <text>
        <t xml:space="preserve">BSY close, 2025-11-10: 46.32 (data provided by Fiscal.ai)</t>
      </text>
    </comment>
    <comment ref="Z27" authorId="0">
      <text>
        <t xml:space="preserve">PCOR close, 2025-11-10: 79.16 (data provided by Fiscal.ai)</t>
      </text>
    </comment>
    <comment ref="Z28" authorId="0">
      <text>
        <t xml:space="preserve">CLBT close, 2025-11-10: 15.61 (data provided by Fiscal.ai)</t>
      </text>
    </comment>
    <comment ref="Z29" authorId="0">
      <text>
        <t xml:space="preserve">TYL close, 2025-11-10: 464.48 (data provided by Fiscal.ai)</t>
      </text>
    </comment>
    <comment ref="Z30" authorId="0">
      <text>
        <t xml:space="preserve">APPF close, 2025-11-10: 254.96 (data provided by Fiscal.ai)</t>
      </text>
    </comment>
    <comment ref="Z31" authorId="0">
      <text>
        <t xml:space="preserve">VERX close, 2025-11-10: 19.19 (data provided by Fiscal.ai)</t>
      </text>
    </comment>
    <comment ref="Z37" authorId="0">
      <text>
        <t xml:space="preserve">DSGX close, 2025-11-10: 116.15 (data provided by Fiscal.ai)</t>
      </text>
    </comment>
    <comment ref="Z38" authorId="0">
      <text>
        <t xml:space="preserve">ADSK close, 2025-11-10: 298.72 (data provided by Fiscal.ai)</t>
      </text>
    </comment>
    <comment ref="Z39" authorId="0">
      <text>
        <t xml:space="preserve">TEAM close, 2025-11-10: 159.13 (data provided by Fiscal.ai)</t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B12" authorId="0">
      <text>
        <t xml:space="preserve">CWAN J.P. Morgan - Fairness Opinion Deck to the Board (2025-12-20).pdf (page 5)</t>
      </text>
    </comment>
    <comment ref="B13" authorId="0">
      <text>
        <t xml:space="preserve">Cited for B13:B17
CWAN PJT - Fairness Opinion Deck to the Special Committee (2025-12-20).pdf (page 25)</t>
      </text>
    </comment>
    <comment ref="B18" authorId="0">
      <text>
        <t xml:space="preserve">CWAN J.P. Morgan - Fairness Opinion Deck to the Board (2025-12-20).pdf (page 5)</t>
      </text>
    </comment>
    <comment ref="B19" authorId="0">
      <text>
        <t xml:space="preserve">Cited for B19:B21
CWAN PJT - Fairness Opinion Deck to the Special Committee (2025-12-20).pdf (page 25)</t>
      </text>
    </comment>
    <comment ref="B7" authorId="0">
      <text>
        <t xml:space="preserve">CWAN PJT - Fairness Opinion Deck to the Special Committee (2025-12-20).pdf (page 25)</t>
      </text>
    </comment>
    <comment ref="B8" authorId="0">
      <text>
        <t xml:space="preserve">CWAN J.P. Morgan - Fairness Opinion Deck to the Board (2025-12-20).pdf (page 5)</t>
      </text>
    </comment>
    <comment ref="B9" authorId="0">
      <text>
        <t xml:space="preserve">Cited for B9:B11
CWAN PJT - Fairness Opinion Deck to the Special Committee (2025-12-20).pdf (page 25)</t>
      </text>
    </comment>
    <comment ref="H46" authorId="0">
      <text>
        <t xml:space="preserve">CWAN DEFM14A Definitive Merger Proxy (filed 2026-04-08).pdf (page 16)</t>
      </text>
    </comment>
    <comment ref="H47" authorId="0">
      <text>
        <t xml:space="preserve">CWAN DEFM14A Definitive Merger Proxy (filed 2026-04-08).pdf (page 49)</t>
      </text>
    </comment>
    <comment ref="H48" authorId="0">
      <text>
        <t xml:space="preserve">CWAN PJT - Fairness Opinion Deck to the Special Committee (2025-12-20).pdf (page 4)</t>
      </text>
    </comment>
    <comment ref="H49" authorId="0">
      <text>
        <t xml:space="preserve">CWAN DEFM14A Definitive Merger Proxy (filed 2026-04-08).pdf (page 81)</t>
      </text>
    </comment>
    <comment ref="H50" authorId="0">
      <text>
        <t xml:space="preserve">CWAN DEFM14A Definitive Merger Proxy (filed 2026-04-08).pdf (page 81)</t>
      </text>
    </comment>
    <comment ref="H51" authorId="0">
      <text>
        <t xml:space="preserve">CWAN PJT - Fairness Opinion Deck to the Special Committee (2025-12-20).pdf (page 4)</t>
      </text>
    </comment>
    <comment ref="H54" authorId="0">
      <text>
        <t xml:space="preserve">Cited for H54:H55
CWAN PJT - Fairness Opinion Deck to the Special Committee (2025-12-20).pdf (page 14)</t>
      </text>
    </comment>
    <comment ref="I12" authorId="0">
      <text>
        <t xml:space="preserve">Cited for G12:I12
CWAN J.P. Morgan - Fairness Opinion Deck to the Board (2025-12-20).pdf (page 5)</t>
      </text>
    </comment>
    <comment ref="I18" authorId="0">
      <text>
        <t xml:space="preserve">Cited for G18:I18
CWAN J.P. Morgan - Fairness Opinion Deck to the Board (2025-12-20).pdf (page 5)</t>
      </text>
    </comment>
    <comment ref="I8" authorId="0">
      <text>
        <t xml:space="preserve">Cited for G8:I8
CWAN J.P. Morgan - Fairness Opinion Deck to the Board (2025-12-20).pdf (page 5)</t>
      </text>
    </comment>
    <comment ref="J13" authorId="0">
      <text>
        <t xml:space="preserve">Cited for G13:J17
CWAN PJT - Fairness Opinion Deck to the Special Committee (2025-12-20).pdf (page 25)</t>
      </text>
    </comment>
    <comment ref="J19" authorId="0">
      <text>
        <t xml:space="preserve">Cited for G19:J21
CWAN PJT - Fairness Opinion Deck to the Special Committee (2025-12-20).pdf (page 25)</t>
      </text>
    </comment>
    <comment ref="J7" authorId="0">
      <text>
        <t xml:space="preserve">Cited for G7:J7
CWAN PJT - Fairness Opinion Deck to the Special Committee (2025-12-20).pdf (page 25)</t>
      </text>
    </comment>
    <comment ref="J9" authorId="0">
      <text>
        <t xml:space="preserve">Cited for G9:J11
CWAN PJT - Fairness Opinion Deck to the Special Committee (2025-12-20).pdf (page 25)</t>
      </text>
    </comment>
    <comment ref="K11" authorId="0">
      <text>
        <t xml:space="preserve">Cited for K11:K12
CWAN J.P. Morgan - Fairness Opinion Deck to the Board (2025-12-20).pdf (page 5)</t>
      </text>
    </comment>
    <comment ref="K14" authorId="0">
      <text>
        <t xml:space="preserve">Cited for K14:K15
CWAN J.P. Morgan - Fairness Opinion Deck to the Board (2025-12-20).pdf (page 5)</t>
      </text>
    </comment>
    <comment ref="K18" authorId="0">
      <text>
        <t xml:space="preserve">Cited for K18:K19
CWAN J.P. Morgan - Fairness Opinion Deck to the Board (2025-12-20).pdf (page 5)</t>
      </text>
    </comment>
    <comment ref="K21" authorId="0">
      <text>
        <t xml:space="preserve">CWAN J.P. Morgan - Fairness Opinion Deck to the Board (2025-12-20).pdf (page 5)</t>
      </text>
    </comment>
    <comment ref="K7" authorId="0">
      <text>
        <t xml:space="preserve">Cited for K7:K9
CWAN J.P. Morgan - Fairness Opinion Deck to the Board (2025-12-20).pdf (page 5)</t>
      </text>
    </comment>
    <comment ref="L36" authorId="0">
      <text>
        <t xml:space="preserve">Cited for H36:L37
CWAN PJT - Fairness Opinion Deck to the Special Committee (2025-12-20).pdf (page 22)</t>
      </text>
    </comment>
    <comment ref="N10" authorId="0">
      <text>
        <t xml:space="preserve">[Browse World](https://www.reuters.com/world/)</t>
      </text>
    </comment>
    <comment ref="N11" authorId="0">
      <text>
        <t xml:space="preserve">Coupa Software Inc DEFA14A d400208ddefa14a.htm</t>
      </text>
    </comment>
    <comment ref="N12" authorId="0">
      <text>
        <t xml:space="preserve">Qualtrics International Inc. 8-K (2023-03-12) exhibit991-pressrelease1.htm</t>
      </text>
    </comment>
    <comment ref="N13" authorId="0">
      <text>
        <t xml:space="preserve">CVENT HOLDING CORP. 8-K (2023-03-14) d460492dex991.htm</t>
      </text>
    </comment>
    <comment ref="N14" authorId="0">
      <text>
        <t xml:space="preserve">Where Innovation Meets Trust</t>
      </text>
    </comment>
    <comment ref="N15" authorId="0">
      <text>
        <t xml:space="preserve">POWERSCHOOL HOLDINGS, INC. 8-K (2024-06-06) d232555dex991.htm</t>
      </text>
    </comment>
    <comment ref="N17" authorId="0">
      <text>
        <t xml:space="preserve">INSTRUCTURE HOLDINGS, INC. 8-K (2024-07-25) d873629dex991.htm</t>
      </text>
    </comment>
    <comment ref="N18" authorId="0">
      <text>
        <t xml:space="preserve">SMARTSHEET INC 8-K (2024-09-24) exhibit991-8xk.htm</t>
      </text>
    </comment>
    <comment ref="N19" authorId="0">
      <text>
        <t xml:space="preserve">CWAN Investor Presentation - Enfusion Acquisition (2025-01-13).pdf (page 3)</t>
      </text>
    </comment>
    <comment ref="N20" authorId="0">
      <text>
        <t xml:space="preserve">SAPIENS INTERNATIONAL CORP N V 6-K (2025-08-13) ea025288001ex99-1_sapiens.htm</t>
      </text>
    </comment>
    <comment ref="N21" authorId="0">
      <text>
        <t xml:space="preserve">Dayforce, Inc. DEFA14A d949165ddefa14a.htm</t>
      </text>
    </comment>
    <comment ref="N7" authorId="0">
      <text>
        <t xml:space="preserve">RealPage, Inc. DEFA14A d24232ddefa14a.htm</t>
      </text>
    </comment>
    <comment ref="N8" authorId="0">
      <text>
        <t xml:space="preserve">PROOFPOINT INC DEFA14A d173979ddefa14a.htm</t>
      </text>
    </comment>
    <comment ref="N9" authorId="0">
      <text>
        <t xml:space="preserve">Inovalon Holdings, Inc. 8-K (2021-08-19) ex-991x08192021.htm</t>
      </text>
    </comment>
    <comment ref="R16" authorId="0">
      <text>
        <t xml:space="preserve">Cited for Q16:R16
[Browse World](https://www.reuters.com/world/)</t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C18" authorId="0">
      <text>
        <t xml:space="preserve">CWAN DCF - Signing Date (Compound, 2026-10-20).xlsx (DCF C8)</t>
      </text>
    </comment>
    <comment ref="C19" authorId="0">
      <text>
        <t xml:space="preserve">CWAN DCF - Signing Date (Compound, 2026-10-20).xlsx (DCF C9)</t>
      </text>
    </comment>
    <comment ref="C20" authorId="0">
      <text>
        <t xml:space="preserve">CWAN DCF - Signing Date (Compound, 2026-10-20).xlsx (DCF C10)</t>
      </text>
    </comment>
    <comment ref="C21" authorId="0">
      <text>
        <t xml:space="preserve">CWAN DCF - Signing Date (Compound, 2026-10-20).xlsx (Inputs C21)</t>
      </text>
    </comment>
    <comment ref="C22" authorId="0">
      <text>
        <t xml:space="preserve">CWAN DEFM14A Definitive Merger Proxy (filed 2026-04-08).pdf (page 16)</t>
      </text>
    </comment>
    <comment ref="C23" authorId="0">
      <text>
        <t xml:space="preserve">CWAN DEFM14A Definitive Merger Proxy (filed 2026-04-08).pdf (page 49)</t>
      </text>
    </comment>
    <comment ref="C27" authorId="0">
      <text>
        <t xml:space="preserve">Cited for C27:C31
CWAN DCF - Signing Date (Compound, 2026-10-20).xlsx (Sensitivity C15:C19)</t>
      </text>
    </comment>
    <comment ref="C56" authorId="0">
      <text>
        <t xml:space="preserve">Cited for C56:C60
CWAN DCF - Signing Date (Compound, 2026-10-20).xlsx (Banker Recon D27:D32)</t>
      </text>
    </comment>
    <comment ref="E10" authorId="0">
      <text>
        <t xml:space="preserve">Cited for C10:E11
CWAN DCF - Signing Date (Compound, 2026-10-20).xlsx (DCF D89:I90)</t>
      </text>
    </comment>
    <comment ref="E13" authorId="0">
      <text>
        <t xml:space="preserve">Cited for C13:E13
CWAN DCF - Signing Date (Compound, 2026-10-20).xlsx (DCF D104:I105)</t>
      </text>
    </comment>
    <comment ref="E7" authorId="0">
      <text>
        <t xml:space="preserve">Cited for C7:E8
CWAN DCF - Signing Date (Compound, 2026-10-20).xlsx (DCF D100:I100)</t>
      </text>
    </comment>
    <comment ref="E9" authorId="0">
      <text>
        <t xml:space="preserve">Cited for C9:E9
CWAN DCF - Signing Date (Compound, 2026-10-20).xlsx (DCF D94:I94)</t>
      </text>
    </comment>
    <comment ref="L26" authorId="0">
      <text>
        <t xml:space="preserve">Cited for D26:L26
CWAN DCF - Signing Date (Compound, 2026-10-20).xlsx (Sensitivity E13:M13)</t>
      </text>
    </comment>
    <comment ref="L27" authorId="0">
      <text>
        <t xml:space="preserve">Cited for D27:L31
CWAN DCF - Signing Date (Compound, 2026-10-20).xlsx (Sensitivity E15:M19)</t>
      </text>
    </comment>
    <comment ref="M44" authorId="0">
      <text>
        <t xml:space="preserve">Cited for C44:M44
CWAN DCF - Signing Date (Compound, 2026-10-20).xlsx (DCF C75:M75)</t>
      </text>
    </comment>
    <comment ref="M45" authorId="0">
      <text>
        <t xml:space="preserve">Cited for C45:M45
CWAN DCF - Signing Date (Compound, 2026-10-20).xlsx (DCF C77:M77)</t>
      </text>
    </comment>
    <comment ref="N43" authorId="0">
      <text>
        <t xml:space="preserve">Cited for C43:N43
CWAN DCF - Signing Date (Compound, 2026-10-20).xlsx (DCF C21:N21)</t>
      </text>
    </comment>
  </commentList>
</comments>
</file>

<file path=xl/comments6.xml><?xml version="1.0" encoding="utf-8"?>
<comments xmlns="http://schemas.openxmlformats.org/spreadsheetml/2006/main">
  <authors>
    <author>Compound</author>
  </authors>
  <commentList>
    <comment ref="C10" authorId="0">
      <text>
        <t xml:space="preserve">CWAN Amended and Restated Debt Commitment Letter and Term Sheet (2026-01-21).pdf (page 30)</t>
      </text>
    </comment>
    <comment ref="C11" authorId="0">
      <text>
        <t xml:space="preserve">CWAN Amended and Restated Debt Commitment Letter and Term Sheet (2026-01-21).pdf (page 31)</t>
      </text>
    </comment>
    <comment ref="C13" authorId="0">
      <text>
        <t xml:space="preserve">CWAN Amended and Restated Debt Commitment Letter and Term Sheet (2026-01-21).pdf (page 30)</t>
      </text>
    </comment>
    <comment ref="C15" authorId="0">
      <text>
        <t xml:space="preserve">Cited for C15:C16
CWAN Amended and Restated Debt Commitment Letter and Term Sheet (2026-01-21).pdf (page 37)</t>
      </text>
    </comment>
    <comment ref="C17" authorId="0">
      <text>
        <t xml:space="preserve">CWAN Amended and Restated Debt Commitment Letter and Term Sheet (2026-01-21).pdf (page 43)</t>
      </text>
    </comment>
    <comment ref="C18" authorId="0">
      <text>
        <t xml:space="preserve">Cited for C18:C19
CWAN Amended and Restated Debt Commitment Letter and Term Sheet (2026-01-21).pdf (page 43)</t>
      </text>
    </comment>
    <comment ref="C20" authorId="0">
      <text>
        <t xml:space="preserve">CWAN Amended and Restated Debt Commitment Letter and Term Sheet (2026-01-21).pdf (page 43)</t>
      </text>
    </comment>
    <comment ref="C21" authorId="0">
      <text>
        <t xml:space="preserve">CWAN PJT - Fairness Opinion Deck to the Special Committee (2025-12-20).pdf (page 32)</t>
      </text>
    </comment>
    <comment ref="C22" authorId="0">
      <text>
        <t xml:space="preserve">CWAN Credit Agreement 2025 - $800M Term Loan B and $200M Revolver (2025-04-21).pdf (page 9)</t>
      </text>
    </comment>
    <comment ref="C24" authorId="0">
      <text>
        <t xml:space="preserve">CWAN Amended and Restated Debt Commitment Letter and Term Sheet (2026-01-21).pdf (page 43)</t>
      </text>
    </comment>
    <comment ref="C25" authorId="0">
      <text>
        <t xml:space="preserve">CWAN Amended and Restated Debt Commitment Letter and Term Sheet (2026-01-21).pdf (page 43)</t>
      </text>
    </comment>
    <comment ref="C27" authorId="0">
      <text>
        <t xml:space="preserve">CWAN DEFM14A Definitive Merger Proxy (filed 2026-04-08).pdf (page 79)</t>
      </text>
    </comment>
    <comment ref="C28" authorId="0">
      <text>
        <t xml:space="preserve">CWAN Amended and Restated Debt Commitment Letter and Term Sheet (2026-01-21).pdf (page 44)</t>
      </text>
    </comment>
    <comment ref="C29" authorId="0">
      <text>
        <t xml:space="preserve">Cited for 3 cells in C29:D30
CWAN Amended and Restated Debt Commitment Letter and Term Sheet (2026-01-21).pdf (page 44)</t>
      </text>
    </comment>
    <comment ref="C31" authorId="0">
      <text>
        <t xml:space="preserve">Cited for C31:C33
CWAN Amended and Restated Debt Commitment Letter and Term Sheet (2026-01-21).pdf (page 44)</t>
      </text>
    </comment>
    <comment ref="C34" authorId="0">
      <text>
        <t xml:space="preserve">CWAN Amended and Restated Debt Commitment Letter and Term Sheet (2026-01-21).pdf (page 31)</t>
      </text>
    </comment>
    <comment ref="C35" authorId="0">
      <text>
        <t xml:space="preserve">CWAN Amended and Restated Debt Commitment Letter and Term Sheet (2026-01-21).pdf (page 38)</t>
      </text>
    </comment>
    <comment ref="C36" authorId="0">
      <text>
        <t xml:space="preserve">CWAN DEFM14A Definitive Merger Proxy (filed 2026-04-08).pdf (page 127)</t>
      </text>
    </comment>
    <comment ref="C37" authorId="0">
      <text>
        <t xml:space="preserve">CWAN DEFM14A Definitive Merger Proxy (filed 2026-04-08).pdf (page 127)</t>
      </text>
    </comment>
    <comment ref="C38" authorId="0">
      <text>
        <t xml:space="preserve">Cited for C38:C40
CWAN PJT - Fairness Opinion Deck to the Special Committee (2025-12-20).pdf (page 14)</t>
      </text>
    </comment>
    <comment ref="C41" authorId="0">
      <text>
        <t xml:space="preserve">CWAN PJT - Fairness Opinion Deck to the Special Committee (2025-12-20).pdf (page 28)</t>
      </text>
    </comment>
    <comment ref="C42" authorId="0">
      <text>
        <t xml:space="preserve">CWAN DEFM14A Definitive Merger Proxy (filed 2026-04-08).pdf (page 108)</t>
      </text>
    </comment>
    <comment ref="C43" authorId="0">
      <text>
        <t xml:space="preserve">Cited for C43:C45
CWAN PJT - Fairness Opinion Deck to the Special Committee (2025-12-20).pdf (page 28)</t>
      </text>
    </comment>
    <comment ref="C47" authorId="0">
      <text>
        <t xml:space="preserve">CWAN PJT - Fairness Opinion Deck to the Special Committee (2025-12-20).pdf (page 17)</t>
      </text>
    </comment>
    <comment ref="C48" authorId="0">
      <text>
        <t xml:space="preserve">CWAN DEFM14A Definitive Merger Proxy (filed 2026-04-08).pdf (page 79)</t>
      </text>
    </comment>
    <comment ref="C54" authorId="0">
      <text>
        <t xml:space="preserve">Cited for C54:C55
CWAN PJT - Fairness Opinion Deck to the Special Committee (2025-12-20).pdf (page 14)</t>
      </text>
    </comment>
    <comment ref="C8" authorId="0">
      <text>
        <t xml:space="preserve">CWAN DEFM14A Definitive Merger Proxy (filed 2026-04-08).pdf (page 16)</t>
      </text>
    </comment>
    <comment ref="C9" authorId="0">
      <text>
        <t xml:space="preserve">CWAN DEFM14A Definitive Merger Proxy (filed 2026-04-08).pdf (page 49)</t>
      </text>
    </comment>
    <comment ref="H79" authorId="0">
      <text>
        <t xml:space="preserve">Cited for C79:H80
CWAN PJT - Fairness Opinion Deck to the Special Committee (2025-12-20).pdf (page 15)</t>
      </text>
    </comment>
    <comment ref="H84" authorId="0">
      <text>
        <t xml:space="preserve">Cited for D84:H84
CWAN PJT - Fairness Opinion Deck to the Special Committee (2025-12-20).pdf (page 15)</t>
      </text>
    </comment>
    <comment ref="H99" authorId="0">
      <text>
        <t xml:space="preserve">Cited for D99:H101
CWAN PJT - Fairness Opinion Deck to the Special Committee (2025-12-20).pdf (page 15)</t>
      </text>
    </comment>
  </commentList>
</comments>
</file>

<file path=xl/sharedStrings.xml><?xml version="1.0" encoding="utf-8"?>
<sst xmlns="http://schemas.openxmlformats.org/spreadsheetml/2006/main" count="768" uniqueCount="768">
  <si>
    <t>Clearwater Analytics – Selected Trading Comparables</t>
  </si>
  <si>
    <t>TRADING COMPARABLES – CWAN (replicating PJT and J.P. Morgan; market data 19-Dec-2025)</t>
  </si>
  <si>
    <t>$m, except per share; market data as of 19-Dec-25</t>
  </si>
  <si>
    <t>$M except per share; peers at 19-Dec-25 close; CY25E/CY26E Street consensus per banker decks; EBITDA pre-SBC; whole companies</t>
  </si>
  <si>
    <t>EV / Revenue</t>
  </si>
  <si>
    <t>EV / EBITDA</t>
  </si>
  <si>
    <t>Share price</t>
  </si>
  <si>
    <t>Equity value to EV</t>
  </si>
  <si>
    <t>Revenue</t>
  </si>
  <si>
    <t>Growth / margin</t>
  </si>
  <si>
    <t>Inputs</t>
  </si>
  <si>
    <t>Company</t>
  </si>
  <si>
    <t>Price</t>
  </si>
  <si>
    <t>% 52W high</t>
  </si>
  <si>
    <t>EV</t>
  </si>
  <si>
    <t>CY26E rev. gr.</t>
  </si>
  <si>
    <t>CY26E EBITDA mgn</t>
  </si>
  <si>
    <t>CY25E</t>
  </si>
  <si>
    <t>CY26E</t>
  </si>
  <si>
    <t>Ticker</t>
  </si>
  <si>
    <t>PJT</t>
  </si>
  <si>
    <t>JPM</t>
  </si>
  <si>
    <t>Price (lcl)</t>
  </si>
  <si>
    <t>FX</t>
  </si>
  <si>
    <t>Price ($)</t>
  </si>
  <si>
    <t>52-wk high</t>
  </si>
  <si>
    <t>% of high</t>
  </si>
  <si>
    <t>FD shares (m)</t>
  </si>
  <si>
    <t>Equity value</t>
  </si>
  <si>
    <t>Net debt</t>
  </si>
  <si>
    <t>Bank EV</t>
  </si>
  <si>
    <t>vs bank</t>
  </si>
  <si>
    <t>CY24A</t>
  </si>
  <si>
    <t>CY26E EBITDA</t>
  </si>
  <si>
    <t>CY25E gr.</t>
  </si>
  <si>
    <t>CY26E gr.</t>
  </si>
  <si>
    <t>CY26E mgn</t>
  </si>
  <si>
    <t>Basic shs</t>
  </si>
  <si>
    <t>Dil. WASO</t>
  </si>
  <si>
    <t>Basic WASO</t>
  </si>
  <si>
    <t>Dil. override</t>
  </si>
  <si>
    <t>OTM conv.</t>
  </si>
  <si>
    <t>Curr. LTD</t>
  </si>
  <si>
    <t>ST debt</t>
  </si>
  <si>
    <t>LT debt</t>
  </si>
  <si>
    <t>NCI</t>
  </si>
  <si>
    <t>Cash</t>
  </si>
  <si>
    <t>ST inv.</t>
  </si>
  <si>
    <t>PJT CY26E Rev</t>
  </si>
  <si>
    <t>PJT CY26E mgn</t>
  </si>
  <si>
    <t>JPM FV</t>
  </si>
  <si>
    <t>JPM FV/Rev</t>
  </si>
  <si>
    <t>JPM FV/EBITDA</t>
  </si>
  <si>
    <t>CY26E gr. (bank)</t>
  </si>
  <si>
    <t>FY rev A</t>
  </si>
  <si>
    <t>FY rev B</t>
  </si>
  <si>
    <t>FYE mo.</t>
  </si>
  <si>
    <t>PJT TEV ($bn)</t>
  </si>
  <si>
    <t>Fin. FX</t>
  </si>
  <si>
    <t>Financial services vertical software</t>
  </si>
  <si>
    <t>CWAN – unaffected</t>
  </si>
  <si>
    <t>CWAN</t>
  </si>
  <si>
    <t>CWAN – offer</t>
  </si>
  <si>
    <t>FINANCIAL SERVICES VERTICAL SOFTWARE</t>
  </si>
  <si>
    <t>Guidewire Software</t>
  </si>
  <si>
    <t>GWRE</t>
  </si>
  <si>
    <t>FS</t>
  </si>
  <si>
    <t>Vertical</t>
  </si>
  <si>
    <t>n.a.</t>
  </si>
  <si>
    <t>Intapp</t>
  </si>
  <si>
    <t>INTA</t>
  </si>
  <si>
    <t>–</t>
  </si>
  <si>
    <t>Q2 Holdings</t>
  </si>
  <si>
    <t>QTWO</t>
  </si>
  <si>
    <t>FS ref</t>
  </si>
  <si>
    <t>Median</t>
  </si>
  <si>
    <t>CCC Intelligent Solutions</t>
  </si>
  <si>
    <t>CCC</t>
  </si>
  <si>
    <t>25th percentile</t>
  </si>
  <si>
    <t>nCino</t>
  </si>
  <si>
    <t>NCNO</t>
  </si>
  <si>
    <t>75th percentile</t>
  </si>
  <si>
    <t>Alkami Technology</t>
  </si>
  <si>
    <t>ALKT</t>
  </si>
  <si>
    <t>Other vertical software</t>
  </si>
  <si>
    <t>SS&amp;C Technologies</t>
  </si>
  <si>
    <t>SSNC</t>
  </si>
  <si>
    <t>OTHER VERTICAL SOFTWARE</t>
  </si>
  <si>
    <t>Veeva Systems</t>
  </si>
  <si>
    <t>VEEV</t>
  </si>
  <si>
    <t>Other</t>
  </si>
  <si>
    <t>Nemetschek</t>
  </si>
  <si>
    <t>NEM GR</t>
  </si>
  <si>
    <t>Bentley Systems</t>
  </si>
  <si>
    <t>BSY</t>
  </si>
  <si>
    <t>Procore Technologies</t>
  </si>
  <si>
    <t>PCOR</t>
  </si>
  <si>
    <t>Cellebrite</t>
  </si>
  <si>
    <t>CLBT</t>
  </si>
  <si>
    <t>Tyler Technologies</t>
  </si>
  <si>
    <t>TYL</t>
  </si>
  <si>
    <t>Other software</t>
  </si>
  <si>
    <t>AppFolio</t>
  </si>
  <si>
    <t>APPF</t>
  </si>
  <si>
    <t>Vertex</t>
  </si>
  <si>
    <t>VERX</t>
  </si>
  <si>
    <t>OTHER SOFTWARE</t>
  </si>
  <si>
    <t>All peers</t>
  </si>
  <si>
    <t>Descartes Systems</t>
  </si>
  <si>
    <t>DSG CN</t>
  </si>
  <si>
    <t>Autodesk</t>
  </si>
  <si>
    <t>ADSK</t>
  </si>
  <si>
    <t>Atlassian</t>
  </si>
  <si>
    <t>TEAM</t>
  </si>
  <si>
    <t>Clearwater Analytics</t>
  </si>
  <si>
    <t>Clearwater – unaffected ($16.69)</t>
  </si>
  <si>
    <t>Clearwater – offer ($24.55)</t>
  </si>
  <si>
    <t>ALL PEERS</t>
  </si>
  <si>
    <t>Source: PJT and J.P. Morgan fairness decks (Street consensus, peer sets), company filings, market data as of 19-Dec-25; EBITDA pre-SBC; Clearwater unaffected at 10-Nov-25.</t>
  </si>
  <si>
    <t>PJT set – median</t>
  </si>
  <si>
    <t>JPM set – median</t>
  </si>
  <si>
    <t>IMPLIED CWAN PRICE PER SHARE (all-peer quartiles × management metrics)</t>
  </si>
  <si>
    <t>Metric</t>
  </si>
  <si>
    <t>25th (x)</t>
  </si>
  <si>
    <t>Median (x)</t>
  </si>
  <si>
    <t>75th (x)</t>
  </si>
  <si>
    <t>@ 25th</t>
  </si>
  <si>
    <t>@ median</t>
  </si>
  <si>
    <t>@ 75th</t>
  </si>
  <si>
    <t>Offer vs median</t>
  </si>
  <si>
    <t>EV / CY25E Revenue</t>
  </si>
  <si>
    <t>EV / CY26E Revenue</t>
  </si>
  <si>
    <t>EV / CY26E EBITDA</t>
  </si>
  <si>
    <t>CWAN AND MARKET INPUTS</t>
  </si>
  <si>
    <t>Unaffected price (10-Nov-25)</t>
  </si>
  <si>
    <t>Offer price</t>
  </si>
  <si>
    <t>52-week high (to unaffected)</t>
  </si>
  <si>
    <t>Class A shares</t>
  </si>
  <si>
    <t>Class B shares</t>
  </si>
  <si>
    <t>RSUs</t>
  </si>
  <si>
    <t>PSUs</t>
  </si>
  <si>
    <t>Options</t>
  </si>
  <si>
    <t>Options – wtd. avg. strike ($)</t>
  </si>
  <si>
    <t>Committed SBC ($M)</t>
  </si>
  <si>
    <t>Debt</t>
  </si>
  <si>
    <t>Cash &amp; equivalents</t>
  </si>
  <si>
    <t>ST investments</t>
  </si>
  <si>
    <t>CY24A revenue</t>
  </si>
  <si>
    <t>Street CY25E revenue</t>
  </si>
  <si>
    <t>Street CY25E EBITDA</t>
  </si>
  <si>
    <t>Street CY26E revenue</t>
  </si>
  <si>
    <t>Street CY26E EBITDA</t>
  </si>
  <si>
    <t>Mgmt CY25E revenue</t>
  </si>
  <si>
    <t>Mgmt CY25E EBITDA</t>
  </si>
  <si>
    <t>Mgmt CY26E revenue</t>
  </si>
  <si>
    <t>Mgmt CY26E EBITDA</t>
  </si>
  <si>
    <t>EUR/USD (19-Dec-25)</t>
  </si>
  <si>
    <t>USD/CAD (19-Dec-25)</t>
  </si>
  <si>
    <t>CHART DATA – EV / CY26E REVENUE</t>
  </si>
  <si>
    <t>TRADING COMPARABLES – BACKING DATA (peers priced at 10-Nov-25, CWAN unaffected date)</t>
  </si>
  <si>
    <t>$M except per share; prices 10-Nov-25 close; FD shares and balance sheets as used by the banks (latest reported at 19-Dec-25); CY25E/CY26E Street consensus per banker decks (19-Dec-25); EBITDA pre-SBC</t>
  </si>
  <si>
    <t>EUR/USD (10-Nov-25)</t>
  </si>
  <si>
    <t>USD/CAD (10-Nov-25)</t>
  </si>
  <si>
    <t>Share price (10-Nov-25)</t>
  </si>
  <si>
    <t>Bank EV 19-Dec</t>
  </si>
  <si>
    <t>Δ vs 19-Dec</t>
  </si>
  <si>
    <t>Clearwater Analytics – Trading Comparables at the Unaffected Price</t>
  </si>
  <si>
    <t>$M except per share; all prices 10-Nov-25 close (unaffected date); CY26E Street consensus per banker decks; EBITDA pre-SBC; FD shares and net debt as used by the banks</t>
  </si>
  <si>
    <t>CWAN – unaffected ($16.69)</t>
  </si>
  <si>
    <t>CWAN – offer ($24.55)</t>
  </si>
  <si>
    <t>J.P. Morgan set – median</t>
  </si>
  <si>
    <t>Fair comparisons – median</t>
  </si>
  <si>
    <t>Fair comparisons – 25th percentile</t>
  </si>
  <si>
    <t>Fair comparisons – 75th percentile</t>
  </si>
  <si>
    <t>Flatter the price – median</t>
  </si>
  <si>
    <t>Peers: fair / flatter / not comparable</t>
  </si>
  <si>
    <t>SCREEN (A PEER IS A FAIR COMPARISON IF BOTH GAPS ARE INSIDE THE BANDS)</t>
  </si>
  <si>
    <t>CWAN 2026E organic revenue growth (mgmt)</t>
  </si>
  <si>
    <t>CWAN 2026E Adj. EBITDA margin (mgmt)</t>
  </si>
  <si>
    <t>CWAN growth + margin</t>
  </si>
  <si>
    <t>Growth band (± pts)</t>
  </si>
  <si>
    <t>Margin band (± pts)</t>
  </si>
  <si>
    <t>CWAN offer EV / CY26E revenue (mgmt)</t>
  </si>
  <si>
    <t>CWAN unaffected EV / CY26E revenue (mgmt)</t>
  </si>
  <si>
    <t>Bank set</t>
  </si>
  <si>
    <t>Mgmt</t>
  </si>
  <si>
    <t>Both</t>
  </si>
  <si>
    <t>PJT; JPM ref.</t>
  </si>
  <si>
    <t>J.P. Morgan</t>
  </si>
  <si>
    <t>Market, 10-Nov-25</t>
  </si>
  <si>
    <t>% 52-wk high</t>
  </si>
  <si>
    <t>EV ($M)</t>
  </si>
  <si>
    <t>CY26E profile</t>
  </si>
  <si>
    <t>Rev. growth</t>
  </si>
  <si>
    <t>EBITDA mgn</t>
  </si>
  <si>
    <t>Growth + mgn</t>
  </si>
  <si>
    <t>EV / CY26E</t>
  </si>
  <si>
    <t>EBITDA</t>
  </si>
  <si>
    <t>vs CWAN (mgmt)</t>
  </si>
  <si>
    <t>Δ growth</t>
  </si>
  <si>
    <t>Δ margin</t>
  </si>
  <si>
    <t>Verdict</t>
  </si>
  <si>
    <t>Subject</t>
  </si>
  <si>
    <t>Why</t>
  </si>
  <si>
    <t>Organic growth (PJT p.10); Street basis 6.3x / 17.9x</t>
  </si>
  <si>
    <t>Street basis 8.9x / 25.3x</t>
  </si>
  <si>
    <t>Insurance core systems; closest growth and margin match</t>
  </si>
  <si>
    <t>Professional-services SaaS; margin 16 pts below CWAN</t>
  </si>
  <si>
    <t>Digital banking; slower growth, lower margin</t>
  </si>
  <si>
    <t>Auto-insurance claims SaaS; growth 6 pts below CWAN</t>
  </si>
  <si>
    <t>Bank loan origination; slower growth, lower margin</t>
  </si>
  <si>
    <t>Digital banking; faster growth on a sub-scale margin</t>
  </si>
  <si>
    <t>Fund admin and investment software; CWAN's closest competitor but 5% growth</t>
  </si>
  <si>
    <t>Life-sciences cloud; margin 10 pts above CWAN, net cash</t>
  </si>
  <si>
    <t>AEC design software (EUR listing); similar profile</t>
  </si>
  <si>
    <t>Infrastructure engineering software; similar profile</t>
  </si>
  <si>
    <t>Construction SaaS; margin 12 pts below CWAN</t>
  </si>
  <si>
    <t>Digital forensics; similar growth, lower margin</t>
  </si>
  <si>
    <t>Public-sector software; growth 5 pts below CWAN</t>
  </si>
  <si>
    <t>Property-management SaaS; similar growth, lower margin</t>
  </si>
  <si>
    <t>Tax software; low margin, stock 67% below 52-week high</t>
  </si>
  <si>
    <t>Logistics SaaS; margin 10 pts above CWAN</t>
  </si>
  <si>
    <t>Design software at scale; similar Rule-of-40</t>
  </si>
  <si>
    <t>Collaboration SaaS; faster growth, lower margin</t>
  </si>
  <si>
    <t>PJT CY25-27E CAGR</t>
  </si>
  <si>
    <t>IMPLIED CWAN VALUE PER SHARE (MULTIPLE × MANAGEMENT CY26E METRIC, TSM DILUTION)</t>
  </si>
  <si>
    <t>Basis</t>
  </si>
  <si>
    <t>EV / CY26E revenue – fair comparisons</t>
  </si>
  <si>
    <t>EV / CY26E EBITDA – fair comparisons</t>
  </si>
  <si>
    <t>EV / CY26E revenue – all peers</t>
  </si>
  <si>
    <t>EV / CY26E EBITDA – all peers</t>
  </si>
  <si>
    <t>EV / CY26E revenue – flatter-the-price set</t>
  </si>
  <si>
    <t>EV / CY26E EBITDA – flatter-the-price set</t>
  </si>
  <si>
    <t>CROSS-CHECK: EV / CY26E REVENUE REGRESSED ON GROWTH + MARGIN (ALL PEERS)</t>
  </si>
  <si>
    <t>Slope (x per 1.0 of growth + margin)</t>
  </si>
  <si>
    <t>Intercept (x)</t>
  </si>
  <si>
    <t>R²</t>
  </si>
  <si>
    <t>CWAN growth + margin (mgmt)</t>
  </si>
  <si>
    <t>Implied CWAN EV / CY26E revenue (x)</t>
  </si>
  <si>
    <t>Implied value per share ($)</t>
  </si>
  <si>
    <t>Offer vs regression value</t>
  </si>
  <si>
    <t>Metric ($M)</t>
  </si>
  <si>
    <t>placeholder</t>
  </si>
  <si>
    <t>Banker Football Fields – PJT Partners (Special Committee) vs J.P. Morgan (Board), 20-Dec-25</t>
  </si>
  <si>
    <t>$ per share unless noted; ranges as disclosed in the DEFM14A and the fairness opinion decks; management Financial Forecasts; offer $24.55, unaffected $16.69 (10-Nov-25)</t>
  </si>
  <si>
    <t>Method</t>
  </si>
  <si>
    <t>TRADING COMPARABLES</t>
  </si>
  <si>
    <t>EV / 2026E revenue</t>
  </si>
  <si>
    <t>EV / 2026E Adj. EBITDA (pre-SBC)</t>
  </si>
  <si>
    <t>EV / 2026E uFCF (pre-SBC)</t>
  </si>
  <si>
    <t>PRECEDENT TRANSACTIONS</t>
  </si>
  <si>
    <t>EV / NTM revenue</t>
  </si>
  <si>
    <t>EV / NTM uFCF (pre-SBC)</t>
  </si>
  <si>
    <t>DISCOUNTED CASH FLOW</t>
  </si>
  <si>
    <t>DCF, incl. tax attributes</t>
  </si>
  <si>
    <t xml:space="preserve">  Terminal growth</t>
  </si>
  <si>
    <t xml:space="preserve">  Terminal-year UFCF</t>
  </si>
  <si>
    <t xml:space="preserve">  PV of tax attributes</t>
  </si>
  <si>
    <t xml:space="preserve">  Midpoint value per share</t>
  </si>
  <si>
    <t>FOR REFERENCE ONLY</t>
  </si>
  <si>
    <t>Illustrative LBO</t>
  </si>
  <si>
    <t>Discounted future share price</t>
  </si>
  <si>
    <t>Analyst price targets</t>
  </si>
  <si>
    <t>52-week trading range</t>
  </si>
  <si>
    <t>CORE METHODS (EXCLUDING REFERENCE-ONLY)</t>
  </si>
  <si>
    <t>Average of core lows / highs</t>
  </si>
  <si>
    <t>Offer vs average core midpoint</t>
  </si>
  <si>
    <t>PRICES</t>
  </si>
  <si>
    <t>Unaffected price, 10-Nov-25</t>
  </si>
  <si>
    <t>Multiple (x)</t>
  </si>
  <si>
    <t>WACC (%)</t>
  </si>
  <si>
    <t>Growth (%)</t>
  </si>
  <si>
    <t>$M</t>
  </si>
  <si>
    <t>$ per share</t>
  </si>
  <si>
    <t>Exit LTM 2030E EBITDA (x)</t>
  </si>
  <si>
    <t>NTM EBITDA (x)</t>
  </si>
  <si>
    <t>PJT Partners</t>
  </si>
  <si>
    <t>Low</t>
  </si>
  <si>
    <t>High</t>
  </si>
  <si>
    <t>Low ($)</t>
  </si>
  <si>
    <t>High ($)</t>
  </si>
  <si>
    <t>Comparison</t>
  </si>
  <si>
    <t>Δ mid (JPM − PJT)</t>
  </si>
  <si>
    <t>Offer in PJT range</t>
  </si>
  <si>
    <t>Offer in JPM range</t>
  </si>
  <si>
    <t>Where the banks differ</t>
  </si>
  <si>
    <t>JPM's top end 9.5x vs PJT 9.0x; JPM peers are higher-multiple vertical and horizontal software, PJT's primary group is FS vertical</t>
  </si>
  <si>
    <t>PJT only</t>
  </si>
  <si>
    <t>J.P. Morgan only; pre-SBC uFCF treats $127mm of SBC as if it were not a cost</t>
  </si>
  <si>
    <t>PJT 12 deals (3 strategic), JPM 10 deals (2 strategic), 7 in common; JPM low end 6.0x vs PJT 6.5x</t>
  </si>
  <si>
    <t>J.P. Morgan only</t>
  </si>
  <si>
    <t>Both 5-year (2026E-30E), 31-Dec-25, mid-year, SBC as a cash cost; JPM uses a 75 bp lower WACC</t>
  </si>
  <si>
    <t>PJT 100 bp higher growth on a terminal year still growing 18%</t>
  </si>
  <si>
    <t>PJT grows 2030E UFCF; JPM normalizes a terminal year (5% growth, 44% margin)</t>
  </si>
  <si>
    <t>Same DTA schedule ($672mm, 80% cap), different discount rates</t>
  </si>
  <si>
    <t>Both midpoints sit at or below the $24.55 offer</t>
  </si>
  <si>
    <t>PJT only: 8.0x 2025E leverage, 22.5% IRR, SBC cut to $32mm</t>
  </si>
  <si>
    <t>PJT only: 2027E price discounted at 11.5%</t>
  </si>
  <si>
    <t>PJT discounts targets one year at 11.5%; JPM shows them undiscounted</t>
  </si>
  <si>
    <t>PJT window ends 10-Nov-25 (unaffected); JPM's ends 19-Dec-25</t>
  </si>
  <si>
    <t>Clearwater Analytics – Precedent Software and Fintech Take-Privates, Last Five Years</t>
  </si>
  <si>
    <t>Deals in the PJT and J.P. Morgan sets, announced Dec-20 to Aug-25; TEV and NTM metrics as the banks report them (PJT figure used where both report); EV / NTM EBITDA derived as EV / NTM revenue ÷ NTM EBITDA margin; premium as the target disclosed it</t>
  </si>
  <si>
    <t>Announced</t>
  </si>
  <si>
    <t>STATISTICS</t>
  </si>
  <si>
    <t>Sponsor take-privates – median</t>
  </si>
  <si>
    <t>Sponsor take-privates – 25th percentile</t>
  </si>
  <si>
    <t>Sponsor take-privates – 75th percentile</t>
  </si>
  <si>
    <t>Sponsor take-privates – mean</t>
  </si>
  <si>
    <t>All deals – median</t>
  </si>
  <si>
    <t>Strategic deals – median</t>
  </si>
  <si>
    <t>CWAN at $24.55 offer (mgmt)</t>
  </si>
  <si>
    <t>CWAN percentile within sponsor take-privates</t>
  </si>
  <si>
    <t>PJT PREMIUMS STUDY (27 U.S. TECHNOLOGY DEALS, TEV $3-10BN, ALL-CASH, LAST FIVE YEARS)</t>
  </si>
  <si>
    <t>Premium to unaffected price</t>
  </si>
  <si>
    <t>Premium to unaffected 90-day VWAP</t>
  </si>
  <si>
    <t>IMPLIED CWAN VALUE PER SHARE (SPONSOR TAKE-PRIVATE QUARTILES)</t>
  </si>
  <si>
    <t>EV / NTM revenue (x) × 2026E revenue ($M)</t>
  </si>
  <si>
    <t>EV / NTM EBITDA (x) × 2026E Adj. EBITDA ($M)</t>
  </si>
  <si>
    <t>Premium to unaffected × $16.69</t>
  </si>
  <si>
    <t>CWAN INPUTS</t>
  </si>
  <si>
    <t>Offer price ($)</t>
  </si>
  <si>
    <t>Unaffected price ($)</t>
  </si>
  <si>
    <t>Offer TEV ($M)</t>
  </si>
  <si>
    <t>2026E revenue ($M)</t>
  </si>
  <si>
    <t>2026E Adj. EBITDA (pre-SBC) ($M)</t>
  </si>
  <si>
    <t>Net debt and other ($M)</t>
  </si>
  <si>
    <t>Basic shares + RSUs + PSUs (mm)</t>
  </si>
  <si>
    <t>Options (mm)</t>
  </si>
  <si>
    <t>Option strike ($)</t>
  </si>
  <si>
    <t>Target</t>
  </si>
  <si>
    <t>RealPage</t>
  </si>
  <si>
    <t>Proofpoint</t>
  </si>
  <si>
    <t>Inovalon</t>
  </si>
  <si>
    <t>Black Knight</t>
  </si>
  <si>
    <t>Coupa Software</t>
  </si>
  <si>
    <t>Qualtrics</t>
  </si>
  <si>
    <t>Cvent</t>
  </si>
  <si>
    <t>SimCorp</t>
  </si>
  <si>
    <t>PowerSchool</t>
  </si>
  <si>
    <t>Envestnet</t>
  </si>
  <si>
    <t>Instructure</t>
  </si>
  <si>
    <t>Smartsheet</t>
  </si>
  <si>
    <t>Enfusion</t>
  </si>
  <si>
    <t>Sapiens</t>
  </si>
  <si>
    <t>Dayforce</t>
  </si>
  <si>
    <t>25th</t>
  </si>
  <si>
    <t>Acquirer</t>
  </si>
  <si>
    <t>Thoma Bravo</t>
  </si>
  <si>
    <t>Nordic Capital, Insight</t>
  </si>
  <si>
    <t>Intercontinental Exchange</t>
  </si>
  <si>
    <t>Silver Lake, CPP Investments</t>
  </si>
  <si>
    <t>Blackstone</t>
  </si>
  <si>
    <t>Deutsche Börse</t>
  </si>
  <si>
    <t>Bain Capital</t>
  </si>
  <si>
    <t>KKR</t>
  </si>
  <si>
    <t>Vista, Blackstone</t>
  </si>
  <si>
    <t>Advent International</t>
  </si>
  <si>
    <t>Buyer</t>
  </si>
  <si>
    <t>Sponsor</t>
  </si>
  <si>
    <t>Strategic</t>
  </si>
  <si>
    <t>Mean</t>
  </si>
  <si>
    <t>Segment</t>
  </si>
  <si>
    <t>Property-management software</t>
  </si>
  <si>
    <t>Security software</t>
  </si>
  <si>
    <t>Healthcare data software</t>
  </si>
  <si>
    <t>Mortgage fintech software</t>
  </si>
  <si>
    <t>Spend-management SaaS</t>
  </si>
  <si>
    <t>Experience-management SaaS</t>
  </si>
  <si>
    <t>Event-management SaaS</t>
  </si>
  <si>
    <t>Investment-management software</t>
  </si>
  <si>
    <t>Education SaaS</t>
  </si>
  <si>
    <t>Wealth-management fintech</t>
  </si>
  <si>
    <t>Work-management SaaS</t>
  </si>
  <si>
    <t>Investment-management SaaS</t>
  </si>
  <si>
    <t>Insurance software</t>
  </si>
  <si>
    <t>HCM and payroll SaaS</t>
  </si>
  <si>
    <t>75th</t>
  </si>
  <si>
    <t>Deal</t>
  </si>
  <si>
    <t>TEV ($bn)</t>
  </si>
  <si>
    <t>Financial buyers (N=20)</t>
  </si>
  <si>
    <t>NTM rev. growth</t>
  </si>
  <si>
    <t>NTM EBITDA mgn</t>
  </si>
  <si>
    <t>Used</t>
  </si>
  <si>
    <t>EV / NTM EBITDA</t>
  </si>
  <si>
    <t>Premium</t>
  </si>
  <si>
    <t>To unaffected</t>
  </si>
  <si>
    <t>1-day close</t>
  </si>
  <si>
    <t>Unaffected close</t>
  </si>
  <si>
    <t>90-day VWAP</t>
  </si>
  <si>
    <t>In stats</t>
  </si>
  <si>
    <t>Yes</t>
  </si>
  <si>
    <t>No</t>
  </si>
  <si>
    <t>Offer ($)</t>
  </si>
  <si>
    <t>Unaffected ($)</t>
  </si>
  <si>
    <t>Notes</t>
  </si>
  <si>
    <t>Close on 18-Dec-20, day before announcement</t>
  </si>
  <si>
    <t>Close on 23-Apr-21</t>
  </si>
  <si>
    <t>Unaffected 26-Jul-21</t>
  </si>
  <si>
    <t>Strategic; cash and stock; Reuters</t>
  </si>
  <si>
    <t>Unaffected 22-Nov-22</t>
  </si>
  <si>
    <t>Unaffected 25-Jan-23</t>
  </si>
  <si>
    <t>VWAP basis only disclosed; excluded from premium statistics</t>
  </si>
  <si>
    <t>Strategic; closest business to CWAN</t>
  </si>
  <si>
    <t>Unaffected 7-May-24</t>
  </si>
  <si>
    <t>Premium computed from $63.15 offer and $63.07 close before the Reuters report</t>
  </si>
  <si>
    <t>Unaffected 17-May-24</t>
  </si>
  <si>
    <t>Strategic; cash and stock; undisturbed 19-Sep-24</t>
  </si>
  <si>
    <t>Undisturbed 8-Aug-25</t>
  </si>
  <si>
    <t>Clearwater Analytics – DCF at Signing (task #4 model)</t>
  </si>
  <si>
    <t>From 12 Models/CWAN DCF - Signing Date (Compound, 2026-10-20).xlsx: 10-year UFCF 2026E-2035E on the management Financial Forecasts, valuation date 20-Dec-25, mid-year, WACC 10.87%; $ per share</t>
  </si>
  <si>
    <t>HEADLINE VALUE PER SHARE</t>
  </si>
  <si>
    <t>Perpetuity growth method ($)</t>
  </si>
  <si>
    <t>Exit multiple method ($)</t>
  </si>
  <si>
    <t>Enterprise value, perpetuity ($M)</t>
  </si>
  <si>
    <t>Implied TEV / 2035E EBITDA at perpetuity growth (x)</t>
  </si>
  <si>
    <t>Implied perpetuity growth at exit multiple</t>
  </si>
  <si>
    <t>Offer premium / (discount) to perpetuity value</t>
  </si>
  <si>
    <t>Perpetuity value vs unaffected price</t>
  </si>
  <si>
    <t>KEY ASSUMPTIONS</t>
  </si>
  <si>
    <t>WACC</t>
  </si>
  <si>
    <t>Perpetuity growth rate</t>
  </si>
  <si>
    <t>Exit multiple, TEV / 2035E Adj. EBITDA (x)</t>
  </si>
  <si>
    <t>Diluted shares, TSM at offer (mm)</t>
  </si>
  <si>
    <t>VALUE PER SHARE – SBC AS CASH COST (TASK #4 SENSITIVITY GRID)</t>
  </si>
  <si>
    <t>VALUE PER SHARE – SBC ADDED BACK (CASH-COST GRID + PV OF SBC ADD-BACK)</t>
  </si>
  <si>
    <t>PV OF THE SBC ADD-BACK (SAME DISCOUNTING AS TASK #4)</t>
  </si>
  <si>
    <t>SBC added back ($M)</t>
  </si>
  <si>
    <t>Share of period after valuation date</t>
  </si>
  <si>
    <t>Discount period (years, mid-year)</t>
  </si>
  <si>
    <t>Check: base-case SBC added back value ($)</t>
  </si>
  <si>
    <t>Task #4 SBC added back value ($)</t>
  </si>
  <si>
    <t>Difference</t>
  </si>
  <si>
    <t>FOOTBALL-FIELD RANGE (WACC ±50 BP, TERMINAL GROWTH ±50 BP)</t>
  </si>
  <si>
    <t>DCF – SBC added back</t>
  </si>
  <si>
    <t>DCF – SBC as cash cost</t>
  </si>
  <si>
    <t>BRIDGE: PJT DCF ($23.75) TO THIS DCF, SBC AS CASH COST (TASK #4)</t>
  </si>
  <si>
    <t>PJT reported value per share</t>
  </si>
  <si>
    <t>Replication rounding</t>
  </si>
  <si>
    <t>WACC 10.50% to 10.87%</t>
  </si>
  <si>
    <t>Terminal growth 6.0% to 2.5%, 5-year basis</t>
  </si>
  <si>
    <t>Extension to 2035E, valuation date, net debt and shares</t>
  </si>
  <si>
    <t>This DCF, SBC as cash cost</t>
  </si>
  <si>
    <t>SBC added back</t>
  </si>
  <si>
    <t>WACC \ g</t>
  </si>
  <si>
    <t>2025E stub</t>
  </si>
  <si>
    <t>SBC as cash cost</t>
  </si>
  <si>
    <t>2026E</t>
  </si>
  <si>
    <t>Base ($)</t>
  </si>
  <si>
    <t>SBC at $32mm (PJT)</t>
  </si>
  <si>
    <t>Low WACC / g</t>
  </si>
  <si>
    <t>High WACC / g</t>
  </si>
  <si>
    <t>Terminal</t>
  </si>
  <si>
    <t>Terminal value, end-2035E, perpetuity ($M)</t>
  </si>
  <si>
    <t>Terminal-year Adj. EBITDA (pre-SBC) ($M)</t>
  </si>
  <si>
    <t>Implied TEV / terminal EBITDA at perpetuity growth (x)</t>
  </si>
  <si>
    <t>Clearwater Analytics – LBO on the 2025 Credit Agreement Debt Package</t>
  </si>
  <si>
    <t>$M except per share; close 31-Dec-25, exit 31-Dec-30; $800M Term Loan B and $200M revolver on 2025 Credit Agreement terms (09 Credit Agreements); management Financial Forecasts; entry price solved in closed form for each target IRR</t>
  </si>
  <si>
    <t>TRANSACTION, FINANCING AND OPERATING ASSUMPTIONS</t>
  </si>
  <si>
    <t>Close date</t>
  </si>
  <si>
    <t>Exit date</t>
  </si>
  <si>
    <t>Term Loan B funded at close</t>
  </si>
  <si>
    <t>Incremental term loan, ratio basket</t>
  </si>
  <si>
    <t>Revolver commitment, undrawn at close</t>
  </si>
  <si>
    <t>PJT after-tax cost of the 2025 Term Loan</t>
  </si>
  <si>
    <t>Cash tax rate</t>
  </si>
  <si>
    <t>Term SOFR, implied (flat)</t>
  </si>
  <si>
    <t>Term loan margin, first-lien leverage &gt; 3.25x</t>
  </si>
  <si>
    <t>Term loan margin, first-lien leverage ≤ 3.25x</t>
  </si>
  <si>
    <t>Margin step-down threshold (x)</t>
  </si>
  <si>
    <t>SOFR floor</t>
  </si>
  <si>
    <t>Scheduled amortization, % of original per quarter</t>
  </si>
  <si>
    <t>Scheduled amortization, % of original per year</t>
  </si>
  <si>
    <t>Revolver commitment fee</t>
  </si>
  <si>
    <t>Debt issuance costs on the 2025 facilities</t>
  </si>
  <si>
    <t>Financing fees, % of commitments</t>
  </si>
  <si>
    <t>Financing-fee amortization period (years)</t>
  </si>
  <si>
    <t>Interest income on cash</t>
  </si>
  <si>
    <t>Minimum cash</t>
  </si>
  <si>
    <t>Company transaction fees</t>
  </si>
  <si>
    <t>Sponsor-side advisory and legal fees</t>
  </si>
  <si>
    <t>Existing debt repaid</t>
  </si>
  <si>
    <t>Existing cash and equivalents</t>
  </si>
  <si>
    <t>Existing short-term investments</t>
  </si>
  <si>
    <t>Public company cost savings (p.a.)</t>
  </si>
  <si>
    <t>Post-close SBC treated as a cash cost (p.a.)</t>
  </si>
  <si>
    <t>Management promote, % of sponsor profit</t>
  </si>
  <si>
    <t>Exit multiple, TEV / NTM Adj. EBITDA (x)</t>
  </si>
  <si>
    <t>Target IRR, selected</t>
  </si>
  <si>
    <t>DTA balance at close</t>
  </si>
  <si>
    <t>DTA usage cap, % of tax</t>
  </si>
  <si>
    <t>First-lien net leverage covenant, revolver (x)</t>
  </si>
  <si>
    <t>Ratio basket cap, first-lien net leverage (x)</t>
  </si>
  <si>
    <t>Ratio basket cap, total net leverage (x)</t>
  </si>
  <si>
    <t>Basic shares, RSUs and PSUs (mm)</t>
  </si>
  <si>
    <t>Committed SBC, Enfusion ($M)</t>
  </si>
  <si>
    <t>SOURCES AND USES AT CLOSE (AT THE SELECTED-IRR PRICE)</t>
  </si>
  <si>
    <t>Uses</t>
  </si>
  <si>
    <t>Equity purchase price</t>
  </si>
  <si>
    <t>Refinance existing debt</t>
  </si>
  <si>
    <t>Sponsor-side fees</t>
  </si>
  <si>
    <t>Financing fees</t>
  </si>
  <si>
    <t>Cash to balance sheet</t>
  </si>
  <si>
    <t>Total uses</t>
  </si>
  <si>
    <t>Sponsor equity, closed form at target IRR</t>
  </si>
  <si>
    <t>Sponsor equity, sources and uses</t>
  </si>
  <si>
    <t>OPERATING BUILD AND CASH FLOW</t>
  </si>
  <si>
    <t>Period</t>
  </si>
  <si>
    <t>Adj. EBITDA (pre-SBC)</t>
  </si>
  <si>
    <t>(+) Public company cost savings</t>
  </si>
  <si>
    <t>Consolidated EBITDA ($M)</t>
  </si>
  <si>
    <t>(−) SBC cash cost</t>
  </si>
  <si>
    <t>(−) Depreciation</t>
  </si>
  <si>
    <t>EBIT ($M)</t>
  </si>
  <si>
    <t>(−) Term loan interest</t>
  </si>
  <si>
    <t>(−) Revolver commitment fee</t>
  </si>
  <si>
    <t>(+) Interest income on cash</t>
  </si>
  <si>
    <t>(−) Amortization of financing fees</t>
  </si>
  <si>
    <t>Pre-tax income ($M)</t>
  </si>
  <si>
    <t>(−) Taxes at statutory rate</t>
  </si>
  <si>
    <t>(+) DTA used</t>
  </si>
  <si>
    <t>Net income ($M)</t>
  </si>
  <si>
    <t>(+) Depreciation</t>
  </si>
  <si>
    <t>(+) Amortization of contract acquisition costs</t>
  </si>
  <si>
    <t>(+) Amortization of financing fees</t>
  </si>
  <si>
    <t>(−) Capex</t>
  </si>
  <si>
    <t>(−) Change in NWC</t>
  </si>
  <si>
    <t>Free cash flow before debt repayment ($M)</t>
  </si>
  <si>
    <t>DEBT, CASH AND TAX ATTRIBUTES</t>
  </si>
  <si>
    <t>Term loan, opening</t>
  </si>
  <si>
    <t>(−) Scheduled amortization</t>
  </si>
  <si>
    <t>(−) Optional prepayment (cash sweep)</t>
  </si>
  <si>
    <t>Term loan, closing ($M)</t>
  </si>
  <si>
    <t>Cash, opening</t>
  </si>
  <si>
    <t>(+) Free cash flow</t>
  </si>
  <si>
    <t>(−) Debt repayment</t>
  </si>
  <si>
    <t>Cash, closing ($M)</t>
  </si>
  <si>
    <t>Applicable term loan margin</t>
  </si>
  <si>
    <t>All-in term loan rate</t>
  </si>
  <si>
    <t>DTA, opening</t>
  </si>
  <si>
    <t>(−) DTA used</t>
  </si>
  <si>
    <t>DTA, closing</t>
  </si>
  <si>
    <t>CREDIT STATISTICS</t>
  </si>
  <si>
    <t>Total debt / Consolidated EBITDA (x)</t>
  </si>
  <si>
    <t>Net debt / Consolidated EBITDA (x)</t>
  </si>
  <si>
    <t>First-lien net leverage covenant headroom (x)</t>
  </si>
  <si>
    <t>Consolidated EBITDA / cash interest (x)</t>
  </si>
  <si>
    <t>Sources</t>
  </si>
  <si>
    <t>Term Loan B</t>
  </si>
  <si>
    <t>Incremental term loan</t>
  </si>
  <si>
    <t>Existing cash and short-term investments</t>
  </si>
  <si>
    <t>Sponsor equity</t>
  </si>
  <si>
    <t>Total sources</t>
  </si>
  <si>
    <t>Assumption: as PJT's illustrative LBO and the DCF valuation date</t>
  </si>
  <si>
    <t>Assumption: five-year hold, as PJT</t>
  </si>
  <si>
    <t>Assumption: none drawn in the base case; see sensitivity</t>
  </si>
  <si>
    <t>Derived: 4.46% ÷ (1 − 25%) − 2.25% margin</t>
  </si>
  <si>
    <t>Assumption: cash earns Term SOFR</t>
  </si>
  <si>
    <t>Assumption precedent: PJT illustrative LBO</t>
  </si>
  <si>
    <t>Assumption: proxy gives $175mm of Parent fees including financing on a larger package</t>
  </si>
  <si>
    <t>Assumption precedent: PJT LBO flatlines SBC at 25% of management's $127mm</t>
  </si>
  <si>
    <t>Assumption: exit at CWAN's unaffected TEV / 2026E EBITDA, i.e. no re-rating</t>
  </si>
  <si>
    <t>Assumption: midpoint of the 20-25% range asked</t>
  </si>
  <si>
    <t>EXIT AND RETURNS</t>
  </si>
  <si>
    <t>Exit at year-end</t>
  </si>
  <si>
    <t>NTM Consolidated EBITDA</t>
  </si>
  <si>
    <t>Exit TEV at NTM multiple</t>
  </si>
  <si>
    <t>(−) Net debt at exit</t>
  </si>
  <si>
    <t>Exit equity value ($M)</t>
  </si>
  <si>
    <t>Years from close</t>
  </si>
  <si>
    <t>PRICE A SPONSOR COULD PAY FOR A TARGET IRR (EXIT 31-DEC-30)</t>
  </si>
  <si>
    <t>Target IRR</t>
  </si>
  <si>
    <t>Exit equity value, 2030</t>
  </si>
  <si>
    <t>Years held</t>
  </si>
  <si>
    <t>Sponsor equity at target IRR ($M)</t>
  </si>
  <si>
    <t>(+) Debt and cash sources net of non-equity uses</t>
  </si>
  <si>
    <t>Equity purchase price ($M)</t>
  </si>
  <si>
    <t>Price per share ($)</t>
  </si>
  <si>
    <t>Premium / (discount) to $24.55 offer</t>
  </si>
  <si>
    <t>Premium to $16.69 unaffected</t>
  </si>
  <si>
    <t>Implied entry TEV / 2026E Adj. EBITDA (x)</t>
  </si>
  <si>
    <t>RETURNS AT THE $24.55 OFFER ON THIS DEBT PACKAGE, BY EXIT YEAR</t>
  </si>
  <si>
    <t>Sponsor equity invested at offer (excl. rollover; none)</t>
  </si>
  <si>
    <t>Sponsor proceeds after promote</t>
  </si>
  <si>
    <t>MOIC (x)</t>
  </si>
  <si>
    <t>IRR</t>
  </si>
  <si>
    <t>RETURNS AT THE SELECTED-IRR PRICE, BY EXIT YEAR</t>
  </si>
  <si>
    <t>Sponsor equity invested (excl. rollover; none)</t>
  </si>
  <si>
    <t>XIRR CHECK (SELECTED-IRR PRICE, 2030 EXIT)</t>
  </si>
  <si>
    <t>Date</t>
  </si>
  <si>
    <t>Sponsor cash flow</t>
  </si>
  <si>
    <t>XIRR</t>
  </si>
  <si>
    <t>SENSITIVITY – PRICE PER SHARE BY EXIT MULTIPLE AND TARGET IRR</t>
  </si>
  <si>
    <t>NTM exit (x) ↓ / target IRR →</t>
  </si>
  <si>
    <t>SENSITIVITY – PRICE PER SHARE AT SELECTED IRR BY SBC CASH COST AND INCREMENTAL TERM LOAN</t>
  </si>
  <si>
    <t>SBC cash cost ($M) ↓ / incremental TL ($M) →</t>
  </si>
  <si>
    <t>Incremental capacity at the 3.75x first-lien net leverage cap ($M)</t>
  </si>
  <si>
    <t>Incremental capacity at the 4.75x total net leverage cap ($M)</t>
  </si>
  <si>
    <t>Selected</t>
  </si>
  <si>
    <t>Payments per year</t>
  </si>
  <si>
    <t>Clearwater Analytics – Valuation Football Field at the 20-Dec-25 Signing</t>
  </si>
  <si>
    <t>$ per share; our ranges from the Comps, Precedents, DCF and LBO tabs; lines at the $16.69 unaffected price (10-Nov-25) and the $24.55 offer</t>
  </si>
  <si>
    <t>MARKET-BASED</t>
  </si>
  <si>
    <t>Trading comps – EV / CY26E revenue</t>
  </si>
  <si>
    <t>Trading comps – EV / CY26E EBITDA</t>
  </si>
  <si>
    <t>Precedents – EV / NTM revenue</t>
  </si>
  <si>
    <t>Precedents – EV / NTM EBITDA</t>
  </si>
  <si>
    <t>Premiums paid to unaffected</t>
  </si>
  <si>
    <t>INTRINSIC</t>
  </si>
  <si>
    <t>LBO – 2025 Credit Agreement package</t>
  </si>
  <si>
    <t>REFERENCE ONLY</t>
  </si>
  <si>
    <t>52-week trading range to 10-Nov-25</t>
  </si>
  <si>
    <t>Analyst price targets, undiscounted</t>
  </si>
  <si>
    <t>BANKERS – CORE METHODS, AVERAGE RANGE</t>
  </si>
  <si>
    <t>Offer premium to unaffected</t>
  </si>
  <si>
    <t>SUMMARY</t>
  </si>
  <si>
    <t>Our methods (rows 7-16) with offer above midpoint</t>
  </si>
  <si>
    <t>Our methods with offer above the high end</t>
  </si>
  <si>
    <t>Median midpoint, our methods ($)</t>
  </si>
  <si>
    <t>Offer vs median midpoint</t>
  </si>
  <si>
    <t>Midpoint ($)</t>
  </si>
  <si>
    <t>Offer vs midpoint</t>
  </si>
  <si>
    <t>Offer position in range</t>
  </si>
  <si>
    <t>Implied by offer</t>
  </si>
  <si>
    <t>Offer-implied metric</t>
  </si>
  <si>
    <t>EV / CY26E revenue (x)</t>
  </si>
  <si>
    <t>EV / CY26E EBITDA (x)</t>
  </si>
  <si>
    <t>EV / NTM revenue (x)</t>
  </si>
  <si>
    <t>EV / NTM EBITDA (x)</t>
  </si>
  <si>
    <t>Premium to unaffected</t>
  </si>
  <si>
    <t>Offer vs base value</t>
  </si>
  <si>
    <t>Sponsor IRR at offer, 2030 exit</t>
  </si>
  <si>
    <t>CHART DATA</t>
  </si>
  <si>
    <t>Range</t>
  </si>
  <si>
    <t>Line</t>
  </si>
  <si>
    <t>x</t>
  </si>
  <si>
    <t>y</t>
  </si>
  <si>
    <t>Unaffected $16.69</t>
  </si>
  <si>
    <t>Offer $24.55</t>
  </si>
  <si>
    <t>Line top</t>
  </si>
  <si>
    <t>Unaffected</t>
  </si>
  <si>
    <t>Offer</t>
  </si>
  <si>
    <t>Reference lines</t>
  </si>
  <si>
    <t>x ($)</t>
  </si>
  <si>
    <t>Comps EV / Rev</t>
  </si>
  <si>
    <t>Comps EV / EBITDA</t>
  </si>
  <si>
    <t>Precedents EV / Rev</t>
  </si>
  <si>
    <t>Precedents EV / EBITDA</t>
  </si>
  <si>
    <t>Premiums paid</t>
  </si>
  <si>
    <t>DCF, SBC added back</t>
  </si>
  <si>
    <t>DCF, SBC as cash</t>
  </si>
  <si>
    <t>LBO, 2025 package</t>
  </si>
  <si>
    <t>52-week range</t>
  </si>
  <si>
    <t>Analyst targets</t>
  </si>
  <si>
    <t>PJT core avg.</t>
  </si>
  <si>
    <t>JPM core avg.</t>
  </si>
  <si>
    <t>Low label</t>
  </si>
  <si>
    <t>High label</t>
  </si>
  <si>
    <t>Terminal growth</t>
  </si>
  <si>
    <t>Terminal-year UFCF</t>
  </si>
  <si>
    <t>PV of tax attributes</t>
  </si>
  <si>
    <t>Midpoint value per share</t>
  </si>
  <si>
    <t>CWAN – offer (mgmt)</t>
  </si>
  <si>
    <t>CWAN – unaffected (mgmt)</t>
  </si>
  <si>
    <t>CWAN offer (x)</t>
  </si>
  <si>
    <t>Financial (N=20)</t>
  </si>
  <si>
    <t>Pmts / yr</t>
  </si>
  <si>
    <t>Our eight methods with offer above midpoint</t>
  </si>
  <si>
    <t>Our eight methods with offer above high end</t>
  </si>
  <si>
    <t>Clearwater Analytics – LBO on the Consortium's Committed Buyout Financing</t>
  </si>
  <si>
    <t>$M except per share; close 31-Dec-25, 5-year hold to 31-Dec-30; $2.7bn term loan, $500M delayed-draw term loan and $325M revolver per the Debt Commitment Letter and DEFM14A; $5.9bn equity commitment; management Financial Forecasts; entry price solved in closed form for each target IRR</t>
  </si>
  <si>
    <t>Term loan funded at close</t>
  </si>
  <si>
    <t>Delayed-draw term loan commitment</t>
  </si>
  <si>
    <t>Delayed-draw term loan drawn</t>
  </si>
  <si>
    <t>Revolver commitment</t>
  </si>
  <si>
    <t>Revolver drawn at close</t>
  </si>
  <si>
    <t>Term loan tenor (years)</t>
  </si>
  <si>
    <t>Scheduled amortization, % of original p.a.</t>
  </si>
  <si>
    <t>Applicable margin over Term SOFR</t>
  </si>
  <si>
    <t>Margin step-down</t>
  </si>
  <si>
    <t>Step-down trigger, first-lien net leverage (x)</t>
  </si>
  <si>
    <t>Term SOFR floor</t>
  </si>
  <si>
    <t>2025 Term Loan margin over SOFR</t>
  </si>
  <si>
    <t>PIK share of margin, first two years</t>
  </si>
  <si>
    <t>PIK step-up when 50% is elected</t>
  </si>
  <si>
    <t>PIK election (1 = elect)</t>
  </si>
  <si>
    <t>Revolver fee step-down, each</t>
  </si>
  <si>
    <t>Revolver fee step-down triggers, first-lien net leverage (x)</t>
  </si>
  <si>
    <t>DDTL ticking fee, day 91 to year 1</t>
  </si>
  <si>
    <t>DDTL ticking fee, after year 1</t>
  </si>
  <si>
    <t>DDTL fee-free period (days)</t>
  </si>
  <si>
    <t>DDTL availability (months)</t>
  </si>
  <si>
    <t>Term loan prepayment premium, first 12 months</t>
  </si>
  <si>
    <t>Parent legal, advisory and financing fees</t>
  </si>
  <si>
    <t>Sponsor equity commitment (four letters)</t>
  </si>
  <si>
    <t>Interest deduction cap, % of EBITDA</t>
  </si>
  <si>
    <t>Base exit multiple, TEV / LTM Adj. EBITDA (x)</t>
  </si>
  <si>
    <t>Class A, Class B, RSUs and PSUs (mm)</t>
  </si>
  <si>
    <t>of which RSUs and PSUs, cash awards paid after close (mm)</t>
  </si>
  <si>
    <t>SOURCES AND USES AT CLOSE (SELECTED-IRR PRICE, BASE EXIT MULTIPLE)</t>
  </si>
  <si>
    <t>Sponsor equity at the $24.55 offer</t>
  </si>
  <si>
    <t>(−) RSU and PSU cash awards paid after close</t>
  </si>
  <si>
    <t>Equity funded at close at the offer</t>
  </si>
  <si>
    <t>Sponsor equity commitment</t>
  </si>
  <si>
    <t>Commitment headroom at the offer</t>
  </si>
  <si>
    <t>Term loan / 2026E Adj. EBITDA (pre-SBC) (x)</t>
  </si>
  <si>
    <t>Debt and cash sources net of non-equity uses</t>
  </si>
  <si>
    <t>Term loan</t>
  </si>
  <si>
    <t>Delayed-draw term loan</t>
  </si>
  <si>
    <t>Revolver</t>
  </si>
  <si>
    <t>Assumption: as PJT's illustrative LBO and the DCF valuation date; actual close was 25-Jun-26</t>
  </si>
  <si>
    <t>Five-year hold, as asked</t>
  </si>
  <si>
    <t>Assumption: management plan has no acquisitions; DDTL left undrawn</t>
  </si>
  <si>
    <t>Assumption: undrawn; the 15.00x first-lien covenant springs only on revolver usage</t>
  </si>
  <si>
    <t>No interim amortization</t>
  </si>
  <si>
    <t>Derived: 4.46% ÷ (1 − 25%) − 2.25%</t>
  </si>
  <si>
    <t>Assumption: Consortium elects the PIK toggle for two years</t>
  </si>
  <si>
    <t>Not charged: the sweep prepays from internally generated cash, which the term sheet allows at par</t>
  </si>
  <si>
    <t>Proxy estimate of Parent's legal, paying agent, advisory and financing fees</t>
  </si>
  <si>
    <t>Existing credit agreement repaid at closing</t>
  </si>
  <si>
    <t>Assumption: IRC §163(j) cap; disallowed interest carried forward</t>
  </si>
  <si>
    <t>Assumption: middle of the 18x / 22x / 26x range asked</t>
  </si>
  <si>
    <t>Paid on the original vesting schedule, not at close (DEFM14A p.8)</t>
  </si>
  <si>
    <t>Year of hold</t>
  </si>
  <si>
    <t>(−) Term loan interest, cash</t>
  </si>
  <si>
    <t>(−) Term loan interest, paid in kind</t>
  </si>
  <si>
    <t>(−) Revolver commitment fee and interest</t>
  </si>
  <si>
    <t>(−) DDTL ticking fee</t>
  </si>
  <si>
    <t>Deductible interest, after cap</t>
  </si>
  <si>
    <t>Taxable income</t>
  </si>
  <si>
    <t>Net income, cash-tax basis ($M)</t>
  </si>
  <si>
    <t>(+) Interest paid in kind</t>
  </si>
  <si>
    <t>DEBT, CASH, RATES AND TAX ATTRIBUTES</t>
  </si>
  <si>
    <t>(+) PIK interest capitalized</t>
  </si>
  <si>
    <t>(−) Optional prepayment from internal cash, at par</t>
  </si>
  <si>
    <t>Applicable margin</t>
  </si>
  <si>
    <t>PIK rate</t>
  </si>
  <si>
    <t>Revolver commitment fee rate</t>
  </si>
  <si>
    <t>Disallowed interest carried forward, opening</t>
  </si>
  <si>
    <t>Disallowed interest carried forward, closing</t>
  </si>
  <si>
    <t>First-lien net leverage (x)</t>
  </si>
  <si>
    <t>EXIT AND RETURNS AT THE BASE MULTIPLE, BY EXIT YEAR</t>
  </si>
  <si>
    <t>LTM Consolidated EBITDA</t>
  </si>
  <si>
    <t>Exit TEV at base multiple</t>
  </si>
  <si>
    <t>Sponsor equity invested at the $24.55 offer (no rollover)</t>
  </si>
  <si>
    <t>(a) RETURNS AT THE $24.55 OFFER, EXIT 31-DEC-30, BY EXIT MULTIPLE</t>
  </si>
  <si>
    <t>Exit multiple, TEV / LTM 2030E Adj. EBITDA (x)</t>
  </si>
  <si>
    <t>Exit TEV</t>
  </si>
  <si>
    <t>Sponsor equity invested at the offer</t>
  </si>
  <si>
    <t>(b) PRICE PER SHARE A SPONSOR CAN PAY FOR A TARGET IRR, EXIT 31-DEC-30</t>
  </si>
  <si>
    <t>Sponsor equity at selected IRR, base multiple ($M)</t>
  </si>
  <si>
    <t>Price per share at selected IRR, base multiple ($)</t>
  </si>
  <si>
    <t>Price at 25% IRR, base multiple ($)</t>
  </si>
  <si>
    <t>Price at 20% IRR, base multiple ($)</t>
  </si>
  <si>
    <t>Exit multiple needed for a 20% IRR at the offer (x)</t>
  </si>
  <si>
    <t>Exit multiple needed for a 25% IRR at the offer (x)</t>
  </si>
  <si>
    <t>XIRR CHECK (SELECTED-IRR PRICE, BASE MULTIPLE)</t>
  </si>
  <si>
    <t>SENSITIVITY – IRR AT THE $24.55 OFFER BY EXIT MULTIPLE AND SBC CASH COST (2030 EXIT)</t>
  </si>
  <si>
    <t>LTM exit (x) ↓ / SBC cash cost ($M) →</t>
  </si>
  <si>
    <t>LBO – committed buyout financing</t>
  </si>
  <si>
    <t>Sponsor IRR at offer, 22x exit</t>
  </si>
  <si>
    <t>LBO, committed debt</t>
  </si>
  <si>
    <t>Days / yr</t>
  </si>
  <si>
    <t>Months / yr</t>
  </si>
  <si>
    <t>Existing cash and ST inv.</t>
  </si>
  <si>
    <t>Assumption: all cash above the $100M minimum prepays the term loan; mandatory ECF sweep steps to 0% at 7.50x</t>
  </si>
  <si>
    <t>Assumption: PIK interest deductible as accrued, inside the 30% cap</t>
  </si>
  <si>
    <t>Cross-check: PJT describes the term loan as 8.0x 2026E EBITDA</t>
  </si>
  <si>
    <t>52-week high to unaffected (PJT range)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</si>
</sst>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$#,##0.00"/>
    <numFmt numFmtId="165" formatCode="0.0%"/>
    <numFmt numFmtId="166" formatCode="#,##0;(#,##0)"/>
    <numFmt numFmtId="167" formatCode="0.0%;(0.0%)"/>
    <numFmt numFmtId="168" formatCode="0.0&quot;x&quot;"/>
    <numFmt numFmtId="169" formatCode="0.0000"/>
    <numFmt numFmtId="170" formatCode="#,##0.0"/>
    <numFmt numFmtId="171" formatCode="#,##0.0,,;(#,##0.0,,);&quot;–&quot;"/>
    <numFmt numFmtId="172" formatCode="$#,##0.00;($#,##0.00)"/>
    <numFmt numFmtId="173" formatCode="0%;(0%)"/>
    <numFmt numFmtId="174" formatCode="0.0"/>
    <numFmt numFmtId="175" formatCode="yyyy&quot;E stub&quot;"/>
    <numFmt numFmtId="176" formatCode="yyyy&quot;E&quot;"/>
    <numFmt numFmtId="177" formatCode="0.000"/>
    <numFmt numFmtId="178" formatCode="dd-mmm-yy"/>
    <numFmt numFmtId="179" formatCode="0.00&quot;x&quot;"/>
    <numFmt numFmtId="180" formatCode="0.000%"/>
    <numFmt numFmtId="181" formatCode="&quot;Close &quot;yyyy"/>
    <numFmt numFmtId="182" formatCode="yyyy&quot;E (NTM)&quot;"/>
    <numFmt numFmtId="183" formatCode="#,##0;(#,##0);–"/>
    <numFmt numFmtId="184" formatCode="0.0&quot;x&quot;;(0.0&quot;x&quot;)"/>
    <numFmt numFmtId="185" formatCode="0.00%;(0.00%)"/>
    <numFmt numFmtId="186" formatCode="0.00;(0.00)"/>
  </numFmts>
  <fonts count="32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10"/>
      <color rgb="FF000000"/>
      <name val="Arial"/>
      <family val="2"/>
    </font>
    <font>
      <b/>
      <u val="singleAccounting"/>
      <sz val="9"/>
      <color rgb="FF000000"/>
      <name val="Arial"/>
      <family val="2"/>
    </font>
    <font>
      <b/>
      <u val="singleAccounting"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sz val="10"/>
      <color rgb="FF0000FF"/>
      <name val="Arial"/>
      <family val="2"/>
    </font>
    <font>
      <sz val="9"/>
      <color rgb="FF0000FF"/>
      <name val="Arial"/>
      <family val="2"/>
    </font>
    <font>
      <b/>
      <sz val="10"/>
      <color rgb="FFFFFFFF"/>
      <name val="Arial"/>
      <family val="2"/>
    </font>
    <font>
      <i/>
      <sz val="8"/>
      <color rgb="FF646464"/>
      <name val="Arial"/>
      <family val="2"/>
    </font>
    <font>
      <b/>
      <sz val="12"/>
      <color rgb="FF00206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i/>
      <sz val="10"/>
      <color rgb="FFFFFFFF"/>
      <name val="Arial"/>
      <family val="2"/>
    </font>
    <font>
      <b/>
      <i/>
      <sz val="10"/>
      <color rgb="FF646464"/>
      <name val="Arial"/>
      <family val="2"/>
    </font>
    <font>
      <sz val="10"/>
      <color rgb="FF002060"/>
      <name val="Arial"/>
      <family val="2"/>
    </font>
    <font>
      <b/>
      <i/>
      <sz val="10"/>
      <color rgb="FF002060"/>
      <name val="Arial"/>
      <family val="2"/>
    </font>
    <font>
      <b/>
      <u val="singleAccounting"/>
      <sz val="10"/>
      <color rgb="FF0000FF"/>
      <name val="Arial"/>
      <family val="2"/>
    </font>
    <font>
      <sz val="10"/>
      <color rgb="FF646464"/>
      <name val="Arial"/>
      <family val="2"/>
    </font>
    <font>
      <b/>
      <sz val="10"/>
      <color rgb="FF646464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u val="singleAccounting"/>
      <sz val="10"/>
      <color rgb="FF646464"/>
      <name val="Arial"/>
      <family val="2"/>
    </font>
    <font>
      <b/>
      <sz val="9"/>
      <color rgb="FF646464"/>
      <name val="Arial"/>
      <family val="2"/>
    </font>
    <font>
      <sz val="9"/>
      <color rgb="FF646464"/>
      <name val="Arial"/>
      <family val="2"/>
    </font>
    <font>
      <b/>
      <u val="singleAccounting"/>
      <sz val="9"/>
      <color rgb="FF64646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285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0" fontId="5" numFmtId="0" applyAlignment="1" applyFont="1">
      <alignment horizontal="centerContinuous"/>
    </xf>
    <xf xfId="0" borderId="0" fillId="0" fontId="5" numFmtId="0" applyAlignment="1" applyFont="1">
      <alignment horizontal="center"/>
    </xf>
    <xf xfId="0" borderId="0" fillId="0" fontId="6" numFmtId="0" applyAlignment="1" applyFont="1">
      <alignment horizontal="centerContinuous"/>
    </xf>
    <xf xfId="0" borderId="1" fillId="0" fontId="7" numFmtId="0" applyAlignment="1" applyFont="1">
      <alignment wrapText="1" horizontal="left"/>
    </xf>
    <xf xfId="0" borderId="1" fillId="0" fontId="7" numFmtId="0" applyAlignment="1" applyFont="1">
      <alignment wrapText="1" horizontal="center"/>
    </xf>
    <xf xfId="0" borderId="0" fillId="0" fontId="6" numFmtId="0" applyAlignment="1" applyFont="1">
      <alignment horizontal="left"/>
    </xf>
    <xf xfId="0" borderId="0" fillId="0" fontId="6" numFmtId="0" applyAlignment="1" applyFont="1">
      <alignment horizontal="center"/>
    </xf>
    <xf xfId="0" borderId="0" fillId="2" fontId="8" numFmtId="0" applyFont="1" applyFill="1"/>
    <xf xfId="0" borderId="0" fillId="2" fontId="8" numFmtId="164" applyAlignment="1" applyFont="1" applyFill="1">
      <alignment horizontal="right"/>
    </xf>
    <xf xfId="0" borderId="0" fillId="2" fontId="8" numFmtId="165" applyAlignment="1" applyFont="1" applyFill="1">
      <alignment horizontal="right"/>
    </xf>
    <xf xfId="0" borderId="0" fillId="2" fontId="8" numFmtId="166" applyAlignment="1" applyFont="1" applyFill="1">
      <alignment horizontal="right"/>
    </xf>
    <xf xfId="0" borderId="0" fillId="2" fontId="8" numFmtId="167" applyAlignment="1" applyFont="1" applyFill="1">
      <alignment horizontal="right"/>
    </xf>
    <xf xfId="0" borderId="0" fillId="2" fontId="8" numFmtId="168" applyAlignment="1" applyFont="1" applyFill="1">
      <alignment horizontal="right"/>
    </xf>
    <xf xfId="0" borderId="0" fillId="0" fontId="2" numFmtId="164" applyAlignment="1" applyFont="1">
      <alignment horizontal="right"/>
    </xf>
    <xf xfId="0" borderId="0" fillId="0" fontId="2" numFmtId="165" applyAlignment="1" applyFont="1">
      <alignment horizontal="right"/>
    </xf>
    <xf xfId="0" borderId="0" fillId="0" fontId="2" numFmtId="166" applyAlignment="1" applyFont="1">
      <alignment horizontal="right"/>
    </xf>
    <xf xfId="0" borderId="0" fillId="0" fontId="2" numFmtId="167" applyAlignment="1" applyFont="1">
      <alignment horizontal="right"/>
    </xf>
    <xf xfId="0" borderId="0" fillId="0" fontId="2" numFmtId="168" applyAlignment="1" applyFont="1">
      <alignment horizontal="right"/>
    </xf>
    <xf xfId="0" borderId="0" fillId="0" fontId="9" numFmtId="0" applyFont="1"/>
    <xf xfId="0" borderId="0" fillId="0" fontId="9" numFmtId="0" applyAlignment="1" applyFont="1">
      <alignment horizontal="center"/>
    </xf>
    <xf xfId="0" borderId="0" fillId="0" fontId="9" numFmtId="4" applyFont="1"/>
    <xf xfId="0" borderId="0" fillId="0" fontId="9" numFmtId="169" applyFont="1"/>
    <xf xfId="0" borderId="0" fillId="0" fontId="9" numFmtId="164" applyFont="1"/>
    <xf xfId="0" borderId="0" fillId="0" fontId="9" numFmtId="9" applyFont="1"/>
    <xf xfId="0" borderId="0" fillId="0" fontId="9" numFmtId="170" applyFont="1"/>
    <xf xfId="0" borderId="0" fillId="0" fontId="0" numFmtId="164"/>
    <xf xfId="0" borderId="0" fillId="0" fontId="9" numFmtId="166" applyFont="1"/>
    <xf xfId="0" borderId="0" fillId="0" fontId="0" numFmtId="166"/>
    <xf xfId="0" borderId="0" fillId="0" fontId="10" numFmtId="166" applyFont="1"/>
    <xf xfId="0" borderId="0" fillId="0" fontId="9" numFmtId="167" applyFont="1"/>
    <xf xfId="0" borderId="0" fillId="0" fontId="9" numFmtId="166" applyAlignment="1" applyFont="1">
      <alignment horizontal="right"/>
    </xf>
    <xf xfId="0" borderId="0" fillId="0" fontId="9" numFmtId="167" applyAlignment="1" applyFont="1">
      <alignment horizontal="right"/>
    </xf>
    <xf xfId="0" borderId="0" fillId="0" fontId="9" numFmtId="168" applyAlignment="1" applyFont="1">
      <alignment horizontal="right"/>
    </xf>
    <xf xfId="0" borderId="1" fillId="0" fontId="9" numFmtId="0" applyFont="1"/>
    <xf xfId="0" borderId="1" fillId="0" fontId="9" numFmtId="0" applyAlignment="1" applyFont="1">
      <alignment horizontal="center"/>
    </xf>
    <xf xfId="0" borderId="1" fillId="0" fontId="9" numFmtId="4" applyFont="1"/>
    <xf xfId="0" borderId="1" fillId="0" fontId="9" numFmtId="169" applyFont="1"/>
    <xf xfId="0" borderId="1" fillId="0" fontId="9" numFmtId="164" applyFont="1"/>
    <xf xfId="0" borderId="1" fillId="0" fontId="9" numFmtId="9" applyFont="1"/>
    <xf xfId="0" borderId="1" fillId="0" fontId="9" numFmtId="170" applyFont="1"/>
    <xf xfId="0" borderId="1" fillId="0" fontId="9" numFmtId="166" applyFont="1"/>
    <xf xfId="0" borderId="1" fillId="0" fontId="10" numFmtId="166" applyFont="1"/>
    <xf xfId="0" borderId="1" fillId="0" fontId="9" numFmtId="167" applyFont="1"/>
    <xf xfId="0" borderId="1" fillId="0" fontId="9" numFmtId="166" applyAlignment="1" applyFont="1">
      <alignment horizontal="right"/>
    </xf>
    <xf xfId="0" borderId="1" fillId="0" fontId="9" numFmtId="167" applyAlignment="1" applyFont="1">
      <alignment horizontal="right"/>
    </xf>
    <xf xfId="0" borderId="1" fillId="0" fontId="9" numFmtId="168" applyAlignment="1" applyFont="1">
      <alignment horizontal="right"/>
    </xf>
    <xf xfId="0" borderId="0" fillId="0" fontId="0" numFmtId="0" applyAlignment="1">
      <alignment horizontal="center"/>
    </xf>
    <xf xfId="0" borderId="0" fillId="0" fontId="0" numFmtId="4"/>
    <xf xfId="0" borderId="0" fillId="0" fontId="0" numFmtId="169"/>
    <xf xfId="0" borderId="0" fillId="0" fontId="0" numFmtId="9"/>
    <xf xfId="0" borderId="0" fillId="0" fontId="0" numFmtId="170"/>
    <xf xfId="0" borderId="0" fillId="0" fontId="0" numFmtId="167"/>
    <xf xfId="0" borderId="0" fillId="0" fontId="0" numFmtId="166" applyAlignment="1">
      <alignment horizontal="right"/>
    </xf>
    <xf xfId="0" borderId="0" fillId="0" fontId="0" numFmtId="167" applyAlignment="1">
      <alignment horizontal="right"/>
    </xf>
    <xf xfId="0" borderId="0" fillId="0" fontId="0" numFmtId="168" applyAlignment="1">
      <alignment horizontal="right"/>
    </xf>
    <xf xfId="0" borderId="0" fillId="3" fontId="11" numFmtId="0" applyFont="1" applyFill="1"/>
    <xf xfId="0" borderId="0" fillId="3" fontId="11" numFmtId="0" applyAlignment="1" applyFont="1" applyFill="1">
      <alignment horizontal="center"/>
    </xf>
    <xf xfId="0" borderId="0" fillId="3" fontId="11" numFmtId="4" applyFont="1" applyFill="1"/>
    <xf xfId="0" borderId="0" fillId="3" fontId="11" numFmtId="169" applyFont="1" applyFill="1"/>
    <xf xfId="0" borderId="0" fillId="3" fontId="11" numFmtId="164" applyFont="1" applyFill="1"/>
    <xf xfId="0" borderId="0" fillId="3" fontId="11" numFmtId="9" applyFont="1" applyFill="1"/>
    <xf xfId="0" borderId="0" fillId="3" fontId="11" numFmtId="170" applyFont="1" applyFill="1"/>
    <xf xfId="0" borderId="0" fillId="3" fontId="11" numFmtId="166" applyFont="1" applyFill="1"/>
    <xf xfId="0" borderId="0" fillId="3" fontId="11" numFmtId="167" applyFont="1" applyFill="1"/>
    <xf xfId="0" borderId="0" fillId="3" fontId="11" numFmtId="166" applyAlignment="1" applyFont="1" applyFill="1">
      <alignment horizontal="right"/>
    </xf>
    <xf xfId="0" borderId="0" fillId="3" fontId="11" numFmtId="167" applyAlignment="1" applyFont="1" applyFill="1">
      <alignment horizontal="right"/>
    </xf>
    <xf xfId="0" borderId="0" fillId="3" fontId="11" numFmtId="168" applyAlignment="1" applyFont="1" applyFill="1">
      <alignment horizontal="right"/>
    </xf>
    <xf xfId="0" borderId="0" fillId="0" fontId="12" numFmtId="4" applyFont="1"/>
    <xf xfId="0" borderId="0" fillId="0" fontId="12" numFmtId="164" applyFont="1"/>
    <xf xfId="0" borderId="0" fillId="0" fontId="13" numFmtId="171" applyFont="1"/>
    <xf xfId="0" borderId="0" fillId="0" fontId="2" numFmtId="171" applyFont="1"/>
    <xf xfId="0" borderId="0" fillId="0" fontId="13" numFmtId="3" applyFont="1"/>
    <xf xfId="0" borderId="0" fillId="0" fontId="13" numFmtId="165" applyFont="1"/>
    <xf xfId="0" borderId="0" fillId="0" fontId="13" numFmtId="168" applyFont="1"/>
    <xf xfId="0" borderId="0" fillId="4" fontId="13" numFmtId="1" applyFont="1" applyFill="1"/>
    <xf xfId="0" borderId="0" fillId="0" fontId="13" numFmtId="170" applyFont="1"/>
    <xf xfId="0" borderId="0" fillId="0" fontId="2" numFmtId="169" applyFont="1"/>
    <xf xfId="0" borderId="0" fillId="0" fontId="2" numFmtId="3" applyFont="1"/>
    <xf xfId="0" borderId="0" fillId="0" fontId="2" numFmtId="168" applyFont="1"/>
    <xf xfId="0" borderId="2" fillId="0" fontId="7" numFmtId="0" applyFont="1"/>
    <xf xfId="0" borderId="2" fillId="0" fontId="7" numFmtId="164" applyAlignment="1" applyFont="1">
      <alignment horizontal="right"/>
    </xf>
    <xf xfId="0" borderId="2" fillId="0" fontId="7" numFmtId="165" applyAlignment="1" applyFont="1">
      <alignment horizontal="right"/>
    </xf>
    <xf xfId="0" borderId="2" fillId="0" fontId="7" numFmtId="166" applyAlignment="1" applyFont="1">
      <alignment horizontal="right"/>
    </xf>
    <xf xfId="0" borderId="2" fillId="0" fontId="7" numFmtId="167" applyAlignment="1" applyFont="1">
      <alignment horizontal="right"/>
    </xf>
    <xf xfId="0" borderId="2" fillId="0" fontId="7" numFmtId="168" applyAlignment="1" applyFont="1">
      <alignment horizontal="right"/>
    </xf>
    <xf xfId="0" borderId="0" fillId="0" fontId="3" numFmtId="164" applyAlignment="1" applyFont="1">
      <alignment horizontal="right"/>
    </xf>
    <xf xfId="0" borderId="0" fillId="0" fontId="3" numFmtId="165" applyAlignment="1" applyFont="1">
      <alignment horizontal="right"/>
    </xf>
    <xf xfId="0" borderId="0" fillId="0" fontId="3" numFmtId="166" applyAlignment="1" applyFont="1">
      <alignment horizontal="right"/>
    </xf>
    <xf xfId="0" borderId="0" fillId="0" fontId="3" numFmtId="167" applyAlignment="1" applyFont="1">
      <alignment horizontal="right"/>
    </xf>
    <xf xfId="0" borderId="0" fillId="0" fontId="3" numFmtId="168" applyAlignment="1" applyFont="1">
      <alignment horizontal="right"/>
    </xf>
    <xf xfId="0" borderId="2" fillId="0" fontId="9" numFmtId="0" applyFont="1"/>
    <xf xfId="0" borderId="2" fillId="0" fontId="9" numFmtId="0" applyAlignment="1" applyFont="1">
      <alignment horizontal="center"/>
    </xf>
    <xf xfId="0" borderId="2" fillId="0" fontId="9" numFmtId="4" applyFont="1"/>
    <xf xfId="0" borderId="2" fillId="0" fontId="9" numFmtId="169" applyFont="1"/>
    <xf xfId="0" borderId="2" fillId="0" fontId="9" numFmtId="164" applyFont="1"/>
    <xf xfId="0" borderId="2" fillId="0" fontId="9" numFmtId="9" applyFont="1"/>
    <xf xfId="0" borderId="2" fillId="0" fontId="9" numFmtId="170" applyFont="1"/>
    <xf xfId="0" borderId="2" fillId="0" fontId="9" numFmtId="166" applyFont="1"/>
    <xf xfId="0" borderId="2" fillId="0" fontId="9" numFmtId="167" applyFont="1"/>
    <xf xfId="0" borderId="2" fillId="0" fontId="9" numFmtId="166" applyAlignment="1" applyFont="1">
      <alignment horizontal="right"/>
    </xf>
    <xf xfId="0" borderId="2" fillId="0" fontId="9" numFmtId="167" applyAlignment="1" applyFont="1">
      <alignment horizontal="right"/>
    </xf>
    <xf xfId="0" borderId="2" fillId="0" fontId="9" numFmtId="168" applyAlignment="1" applyFont="1">
      <alignment horizontal="right"/>
    </xf>
    <xf xfId="0" borderId="0" fillId="0" fontId="2" numFmtId="165" applyFont="1"/>
    <xf xfId="0" borderId="0" fillId="4" fontId="2" numFmtId="1" applyFont="1" applyFill="1"/>
    <xf xfId="0" borderId="0" fillId="0" fontId="2" numFmtId="170" applyFont="1"/>
    <xf xfId="0" borderId="2" fillId="0" fontId="9" numFmtId="168" applyFont="1"/>
    <xf xfId="0" borderId="0" fillId="0" fontId="0" numFmtId="168"/>
    <xf xfId="0" borderId="0" fillId="5" fontId="2" numFmtId="0" applyFont="1" applyFill="1"/>
    <xf xfId="0" borderId="0" fillId="5" fontId="2" numFmtId="164" applyAlignment="1" applyFont="1" applyFill="1">
      <alignment horizontal="right"/>
    </xf>
    <xf xfId="0" borderId="0" fillId="5" fontId="2" numFmtId="165" applyAlignment="1" applyFont="1" applyFill="1">
      <alignment horizontal="right"/>
    </xf>
    <xf xfId="0" borderId="0" fillId="5" fontId="2" numFmtId="166" applyAlignment="1" applyFont="1" applyFill="1">
      <alignment horizontal="right"/>
    </xf>
    <xf xfId="0" borderId="0" fillId="5" fontId="2" numFmtId="167" applyAlignment="1" applyFont="1" applyFill="1">
      <alignment horizontal="right"/>
    </xf>
    <xf xfId="0" borderId="0" fillId="5" fontId="2" numFmtId="168" applyAlignment="1" applyFont="1" applyFill="1">
      <alignment horizontal="right"/>
    </xf>
    <xf xfId="0" borderId="0" fillId="5" fontId="7" numFmtId="0" applyFont="1" applyFill="1"/>
    <xf xfId="0" borderId="0" fillId="5" fontId="7" numFmtId="164" applyAlignment="1" applyFont="1" applyFill="1">
      <alignment horizontal="right"/>
    </xf>
    <xf xfId="0" borderId="0" fillId="5" fontId="7" numFmtId="165" applyAlignment="1" applyFont="1" applyFill="1">
      <alignment horizontal="right"/>
    </xf>
    <xf xfId="0" borderId="0" fillId="5" fontId="7" numFmtId="166" applyAlignment="1" applyFont="1" applyFill="1">
      <alignment horizontal="right"/>
    </xf>
    <xf xfId="0" borderId="0" fillId="5" fontId="7" numFmtId="167" applyAlignment="1" applyFont="1" applyFill="1">
      <alignment horizontal="right"/>
    </xf>
    <xf xfId="0" borderId="0" fillId="5" fontId="7" numFmtId="168" applyAlignment="1" applyFont="1" applyFill="1">
      <alignment horizontal="right"/>
    </xf>
    <xf xfId="0" borderId="2" fillId="0" fontId="2" numFmtId="0" applyFont="1"/>
    <xf xfId="0" borderId="0" fillId="2" fontId="14" numFmtId="0" applyFont="1" applyFill="1"/>
    <xf xfId="0" borderId="0" fillId="2" fontId="14" numFmtId="9" applyFont="1" applyFill="1"/>
    <xf xfId="0" borderId="0" fillId="2" fontId="14" numFmtId="167" applyFont="1" applyFill="1"/>
    <xf xfId="0" borderId="0" fillId="2" fontId="14" numFmtId="168" applyFont="1" applyFill="1"/>
    <xf xfId="0" borderId="0" fillId="0" fontId="15" numFmtId="0" applyFont="1"/>
    <xf xfId="0" borderId="2" fillId="0" fontId="0" numFmtId="0"/>
    <xf xfId="0" borderId="2" fillId="0" fontId="0" numFmtId="9"/>
    <xf xfId="0" borderId="2" fillId="0" fontId="0" numFmtId="167"/>
    <xf xfId="0" borderId="2" fillId="0" fontId="0" numFmtId="168"/>
    <xf xfId="0" borderId="0" fillId="2" fontId="14" numFmtId="0" applyAlignment="1" applyFont="1" applyFill="1">
      <alignment horizontal="right"/>
    </xf>
    <xf xfId="0" borderId="0" fillId="0" fontId="12" numFmtId="3" applyFont="1"/>
    <xf xfId="0" borderId="0" fillId="0" fontId="12" numFmtId="170" applyFont="1"/>
    <xf xfId="0" borderId="0" fillId="0" fontId="12" numFmtId="169" applyFont="1"/>
    <xf xfId="0" borderId="0" fillId="0" fontId="0" numFmtId="164"/>
    <xf xfId="0" borderId="0" fillId="0" fontId="0" numFmtId="168"/>
    <xf xfId="0" borderId="0" fillId="0" fontId="0" numFmtId="3"/>
    <xf xfId="0" borderId="0" fillId="0" fontId="16" numFmtId="0" applyFont="1"/>
    <xf xfId="0" borderId="0" fillId="0" fontId="17" numFmtId="0" applyFont="1"/>
    <xf xfId="0" borderId="0" fillId="0" fontId="6" numFmtId="0" applyAlignment="1" applyFont="1">
      <alignment wrapText="1" horizontal="center"/>
    </xf>
    <xf xfId="0" borderId="0" fillId="0" fontId="6" numFmtId="0" applyAlignment="1" applyFont="1">
      <alignment wrapText="1" horizontal="left"/>
    </xf>
    <xf xfId="0" borderId="0" fillId="0" fontId="0" numFmtId="165"/>
    <xf xfId="0" borderId="0" fillId="0" fontId="0" numFmtId="0" applyAlignment="1">
      <alignment horizontal="right"/>
    </xf>
    <xf xfId="0" borderId="0" fillId="0" fontId="0" numFmtId="3" applyAlignment="1">
      <alignment horizontal="right"/>
    </xf>
    <xf xfId="0" borderId="0" fillId="0" fontId="0" numFmtId="168" applyAlignment="1">
      <alignment horizontal="right"/>
    </xf>
    <xf xfId="0" borderId="0" fillId="0" fontId="0" numFmtId="164" applyAlignment="1">
      <alignment horizontal="right"/>
    </xf>
    <xf xfId="0" borderId="0" fillId="0" fontId="0" numFmtId="172" applyAlignment="1">
      <alignment horizontal="right"/>
    </xf>
    <xf xfId="0" borderId="0" fillId="0" fontId="0" numFmtId="173" applyAlignment="1">
      <alignment horizontal="right"/>
    </xf>
    <xf xfId="0" borderId="0" fillId="2" fontId="14" numFmtId="3" applyAlignment="1" applyFont="1" applyFill="1">
      <alignment horizontal="right"/>
    </xf>
    <xf xfId="0" borderId="0" fillId="2" fontId="14" numFmtId="168" applyAlignment="1" applyFont="1" applyFill="1">
      <alignment horizontal="right"/>
    </xf>
    <xf xfId="0" borderId="0" fillId="2" fontId="14" numFmtId="164" applyAlignment="1" applyFont="1" applyFill="1">
      <alignment horizontal="right"/>
    </xf>
    <xf xfId="0" borderId="0" fillId="2" fontId="14" numFmtId="172" applyAlignment="1" applyFont="1" applyFill="1">
      <alignment horizontal="right"/>
    </xf>
    <xf xfId="0" borderId="0" fillId="2" fontId="14" numFmtId="173" applyAlignment="1" applyFont="1" applyFill="1">
      <alignment horizontal="right"/>
    </xf>
    <xf xfId="0" borderId="0" fillId="0" fontId="0" numFmtId="10" applyAlignment="1">
      <alignment horizontal="right"/>
    </xf>
    <xf xfId="0" borderId="0" fillId="0" fontId="0" numFmtId="165" applyAlignment="1">
      <alignment horizontal="right"/>
    </xf>
    <xf xfId="0" borderId="0" fillId="0" fontId="0" numFmtId="167" applyAlignment="1">
      <alignment horizontal="right"/>
    </xf>
    <xf xfId="0" borderId="0" fillId="0" fontId="0" numFmtId="0" applyAlignment="1">
      <alignment horizontal="left"/>
    </xf>
    <xf xfId="0" borderId="0" fillId="2" fontId="14" numFmtId="0" applyAlignment="1" applyFont="1" applyFill="1">
      <alignment horizontal="left"/>
    </xf>
    <xf xfId="0" borderId="0" fillId="2" fontId="20" numFmtId="0" applyFont="1" applyFill="1"/>
    <xf xfId="0" borderId="0" fillId="0" fontId="12" numFmtId="3" applyAlignment="1" applyFont="1">
      <alignment horizontal="right"/>
    </xf>
    <xf xfId="0" borderId="0" fillId="0" fontId="12" numFmtId="168" applyAlignment="1" applyFont="1">
      <alignment horizontal="right"/>
    </xf>
    <xf xfId="0" borderId="0" fillId="0" fontId="12" numFmtId="164" applyAlignment="1" applyFont="1">
      <alignment horizontal="right"/>
    </xf>
    <xf xfId="0" borderId="0" fillId="0" fontId="12" numFmtId="10" applyAlignment="1" applyFont="1">
      <alignment horizontal="right"/>
    </xf>
    <xf xfId="0" borderId="0" fillId="0" fontId="12" numFmtId="165" applyAlignment="1" applyFont="1">
      <alignment horizontal="right"/>
    </xf>
    <xf xfId="0" borderId="0" fillId="0" fontId="0" numFmtId="0" applyAlignment="1">
      <alignment indent="1"/>
    </xf>
    <xf xfId="0" borderId="0" fillId="0" fontId="0" numFmtId="9" applyAlignment="1">
      <alignment horizontal="right"/>
    </xf>
    <xf xfId="0" borderId="0" fillId="3" fontId="11" numFmtId="0" applyAlignment="1" applyFont="1" applyFill="1">
      <alignment horizontal="right"/>
    </xf>
    <xf xfId="0" borderId="0" fillId="3" fontId="11" numFmtId="164" applyAlignment="1" applyFont="1" applyFill="1">
      <alignment horizontal="right"/>
    </xf>
    <xf xfId="0" borderId="0" fillId="3" fontId="11" numFmtId="9" applyAlignment="1" applyFont="1" applyFill="1">
      <alignment horizontal="right"/>
    </xf>
    <xf xfId="0" borderId="0" fillId="3" fontId="11" numFmtId="3" applyAlignment="1" applyFont="1" applyFill="1">
      <alignment horizontal="right"/>
    </xf>
    <xf xfId="0" borderId="0" fillId="3" fontId="11" numFmtId="167" applyAlignment="1" applyFont="1" applyFill="1">
      <alignment horizontal="right"/>
    </xf>
    <xf xfId="0" borderId="0" fillId="3" fontId="11" numFmtId="168" applyAlignment="1" applyFont="1" applyFill="1">
      <alignment horizontal="right"/>
    </xf>
    <xf xfId="0" borderId="0" fillId="0" fontId="0" numFmtId="1" applyAlignment="1">
      <alignment horizontal="right"/>
    </xf>
    <xf xfId="0" borderId="0" fillId="0" fontId="0" numFmtId="2" applyAlignment="1">
      <alignment horizontal="right"/>
    </xf>
    <xf xfId="0" borderId="0" fillId="3" fontId="11" numFmtId="0" applyAlignment="1" applyFont="1" applyFill="1">
      <alignment horizontal="left"/>
    </xf>
    <xf xfId="0" borderId="0" fillId="3" fontId="20" numFmtId="0" applyFont="1" applyFill="1"/>
    <xf xfId="0" borderId="0" fillId="0" fontId="9" numFmtId="164" applyAlignment="1" applyFont="1">
      <alignment horizontal="right"/>
    </xf>
    <xf xfId="0" borderId="0" fillId="0" fontId="9" numFmtId="9" applyAlignment="1" applyFont="1">
      <alignment horizontal="right"/>
    </xf>
    <xf xfId="0" borderId="0" fillId="0" fontId="9" numFmtId="3" applyAlignment="1" applyFont="1">
      <alignment horizontal="right"/>
    </xf>
    <xf xfId="0" borderId="0" fillId="0" fontId="9" numFmtId="167" applyAlignment="1" applyFont="1">
      <alignment horizontal="right"/>
    </xf>
    <xf xfId="0" borderId="0" fillId="0" fontId="9" numFmtId="168" applyAlignment="1" applyFont="1">
      <alignment horizontal="right"/>
    </xf>
    <xf xfId="0" borderId="0" fillId="0" fontId="9" numFmtId="0" applyAlignment="1" applyFont="1">
      <alignment horizontal="right"/>
    </xf>
    <xf xfId="0" borderId="2" fillId="0" fontId="9" numFmtId="0" applyFont="1"/>
    <xf xfId="0" borderId="2" fillId="0" fontId="9" numFmtId="0" applyAlignment="1" applyFont="1">
      <alignment horizontal="left"/>
    </xf>
    <xf xfId="0" borderId="2" fillId="0" fontId="9" numFmtId="164" applyAlignment="1" applyFont="1">
      <alignment horizontal="right"/>
    </xf>
    <xf xfId="0" borderId="2" fillId="0" fontId="9" numFmtId="9" applyAlignment="1" applyFont="1">
      <alignment horizontal="right"/>
    </xf>
    <xf xfId="0" borderId="2" fillId="0" fontId="9" numFmtId="3" applyAlignment="1" applyFont="1">
      <alignment horizontal="right"/>
    </xf>
    <xf xfId="0" borderId="2" fillId="0" fontId="9" numFmtId="167" applyAlignment="1" applyFont="1">
      <alignment horizontal="right"/>
    </xf>
    <xf xfId="0" borderId="2" fillId="0" fontId="9" numFmtId="168" applyAlignment="1" applyFont="1">
      <alignment horizontal="right"/>
    </xf>
    <xf xfId="0" borderId="2" fillId="0" fontId="9" numFmtId="0" applyAlignment="1" applyFont="1">
      <alignment horizontal="center"/>
    </xf>
    <xf xfId="0" borderId="2" fillId="0" fontId="20" numFmtId="0" applyFont="1"/>
    <xf xfId="0" borderId="2" fillId="0" fontId="9" numFmtId="0" applyAlignment="1" applyFont="1">
      <alignment horizontal="right"/>
    </xf>
    <xf xfId="0" borderId="0" fillId="6" fontId="9" numFmtId="0" applyFont="1" applyFill="1"/>
    <xf xfId="0" borderId="0" fillId="6" fontId="9" numFmtId="0" applyAlignment="1" applyFont="1" applyFill="1">
      <alignment horizontal="right"/>
    </xf>
    <xf xfId="0" borderId="0" fillId="6" fontId="9" numFmtId="9" applyAlignment="1" applyFont="1" applyFill="1">
      <alignment horizontal="right"/>
    </xf>
    <xf xfId="0" borderId="0" fillId="6" fontId="9" numFmtId="3" applyAlignment="1" applyFont="1" applyFill="1">
      <alignment horizontal="right"/>
    </xf>
    <xf xfId="0" borderId="0" fillId="6" fontId="9" numFmtId="167" applyAlignment="1" applyFont="1" applyFill="1">
      <alignment horizontal="right"/>
    </xf>
    <xf xfId="0" borderId="0" fillId="6" fontId="9" numFmtId="168" applyAlignment="1" applyFont="1" applyFill="1">
      <alignment horizontal="right"/>
    </xf>
    <xf xfId="0" borderId="0" fillId="6" fontId="0" numFmtId="0" applyAlignment="1" applyFill="1">
      <alignment indent="1"/>
    </xf>
    <xf xfId="0" borderId="0" fillId="6" fontId="0" numFmtId="0" applyAlignment="1" applyFill="1">
      <alignment horizontal="right"/>
    </xf>
    <xf xfId="0" borderId="0" fillId="6" fontId="0" numFmtId="9" applyAlignment="1" applyFill="1">
      <alignment horizontal="right"/>
    </xf>
    <xf xfId="0" borderId="0" fillId="6" fontId="0" numFmtId="3" applyAlignment="1" applyFill="1">
      <alignment horizontal="right"/>
    </xf>
    <xf xfId="0" borderId="0" fillId="6" fontId="0" numFmtId="167" applyAlignment="1" applyFill="1">
      <alignment horizontal="right"/>
    </xf>
    <xf xfId="0" borderId="0" fillId="6" fontId="0" numFmtId="168" applyAlignment="1" applyFill="1">
      <alignment horizontal="right"/>
    </xf>
    <xf xfId="0" borderId="0" fillId="0" fontId="6" numFmtId="0" applyFont="1"/>
    <xf xfId="0" borderId="0" fillId="0" fontId="6" numFmtId="0" applyAlignment="1" applyFont="1">
      <alignment horizontal="right"/>
    </xf>
    <xf xfId="0" borderId="0" fillId="4" fontId="12" numFmtId="165" applyAlignment="1" applyFont="1" applyFill="1">
      <alignment horizontal="right"/>
    </xf>
    <xf xfId="0" borderId="0" fillId="0" fontId="12" numFmtId="165" applyFont="1"/>
    <xf xfId="0" borderId="0" fillId="0" fontId="0" numFmtId="174"/>
    <xf xfId="0" borderId="0" fillId="0" fontId="0" numFmtId="174" applyAlignment="1">
      <alignment horizontal="right"/>
    </xf>
    <xf xfId="0" borderId="0" fillId="2" fontId="14" numFmtId="174" applyAlignment="1" applyFont="1" applyFill="1">
      <alignment horizontal="right"/>
    </xf>
    <xf xfId="0" borderId="0" fillId="2" fontId="14" numFmtId="165" applyAlignment="1" applyFont="1" applyFill="1">
      <alignment horizontal="right"/>
    </xf>
    <xf xfId="0" borderId="0" fillId="6" fontId="0" numFmtId="0" applyFill="1"/>
    <xf xfId="0" borderId="0" fillId="6" fontId="0" numFmtId="0" applyAlignment="1" applyFill="1">
      <alignment horizontal="center"/>
    </xf>
    <xf xfId="0" borderId="0" fillId="6" fontId="0" numFmtId="164" applyAlignment="1" applyFill="1">
      <alignment horizontal="right"/>
    </xf>
    <xf xfId="0" borderId="0" fillId="0" fontId="9" numFmtId="174" applyAlignment="1" applyFont="1">
      <alignment horizontal="right"/>
    </xf>
    <xf xfId="0" borderId="0" fillId="0" fontId="9" numFmtId="165" applyAlignment="1" applyFont="1">
      <alignment horizontal="right"/>
    </xf>
    <xf xfId="0" borderId="2" fillId="0" fontId="9" numFmtId="174" applyAlignment="1" applyFont="1">
      <alignment horizontal="right"/>
    </xf>
    <xf xfId="0" borderId="2" fillId="0" fontId="9" numFmtId="165" applyAlignment="1" applyFont="1">
      <alignment horizontal="right"/>
    </xf>
    <xf xfId="0" borderId="0" fillId="6" fontId="17" numFmtId="0" applyFont="1" applyFill="1"/>
    <xf xfId="0" borderId="0" fillId="0" fontId="12" numFmtId="17" applyAlignment="1" applyFont="1">
      <alignment horizontal="left"/>
    </xf>
    <xf xfId="0" borderId="0" fillId="0" fontId="12" numFmtId="174" applyAlignment="1" applyFont="1">
      <alignment horizontal="right"/>
    </xf>
    <xf xfId="0" borderId="0" fillId="6" fontId="12" numFmtId="17" applyAlignment="1" applyFont="1" applyFill="1">
      <alignment horizontal="left"/>
    </xf>
    <xf xfId="0" borderId="0" fillId="6" fontId="12" numFmtId="174" applyAlignment="1" applyFont="1" applyFill="1">
      <alignment horizontal="right"/>
    </xf>
    <xf xfId="0" borderId="0" fillId="6" fontId="12" numFmtId="165" applyAlignment="1" applyFont="1" applyFill="1">
      <alignment horizontal="right"/>
    </xf>
    <xf xfId="0" borderId="0" fillId="6" fontId="12" numFmtId="168" applyAlignment="1" applyFont="1" applyFill="1">
      <alignment horizontal="right"/>
    </xf>
    <xf xfId="0" borderId="0" fillId="0" fontId="12" numFmtId="9" applyFont="1"/>
    <xf xfId="0" borderId="0" fillId="0" fontId="12" numFmtId="9" applyAlignment="1" applyFont="1">
      <alignment horizontal="right"/>
    </xf>
    <xf xfId="0" borderId="0" fillId="0" fontId="12" numFmtId="164" applyFont="1"/>
    <xf xfId="0" borderId="0" fillId="0" fontId="12" numFmtId="3" applyFont="1"/>
    <xf xfId="0" borderId="0" fillId="0" fontId="12" numFmtId="174" applyFont="1"/>
    <xf xfId="0" borderId="0" fillId="0" fontId="6" numFmtId="10" applyAlignment="1" applyFont="1">
      <alignment horizontal="right"/>
    </xf>
    <xf xfId="0" borderId="0" fillId="0" fontId="9" numFmtId="10" applyAlignment="1" applyFont="1">
      <alignment horizontal="right"/>
    </xf>
    <xf xfId="0" borderId="0" fillId="7" fontId="0" numFmtId="164" applyAlignment="1" applyFill="1">
      <alignment horizontal="right"/>
    </xf>
    <xf xfId="0" borderId="0" fillId="0" fontId="6" numFmtId="175" applyAlignment="1" applyFont="1">
      <alignment horizontal="right"/>
    </xf>
    <xf xfId="0" borderId="0" fillId="0" fontId="6" numFmtId="176" applyAlignment="1" applyFont="1">
      <alignment horizontal="right"/>
    </xf>
    <xf xfId="0" borderId="0" fillId="0" fontId="0" numFmtId="166" applyAlignment="1">
      <alignment horizontal="right"/>
    </xf>
    <xf xfId="0" borderId="2" fillId="0" fontId="9" numFmtId="172" applyAlignment="1" applyFont="1">
      <alignment horizontal="right"/>
    </xf>
    <xf xfId="0" borderId="0" fillId="0" fontId="12" numFmtId="167" applyAlignment="1" applyFont="1">
      <alignment horizontal="right"/>
    </xf>
    <xf xfId="0" borderId="0" fillId="0" fontId="23" numFmtId="10" applyAlignment="1" applyFont="1">
      <alignment horizontal="right"/>
    </xf>
    <xf xfId="0" borderId="0" fillId="0" fontId="10" numFmtId="10" applyAlignment="1" applyFont="1">
      <alignment horizontal="right"/>
    </xf>
    <xf xfId="0" borderId="0" fillId="7" fontId="12" numFmtId="164" applyAlignment="1" applyFont="1" applyFill="1">
      <alignment horizontal="right"/>
    </xf>
    <xf xfId="0" borderId="0" fillId="0" fontId="12" numFmtId="166" applyAlignment="1" applyFont="1">
      <alignment horizontal="right"/>
    </xf>
    <xf xfId="0" borderId="0" fillId="0" fontId="12" numFmtId="177" applyAlignment="1" applyFont="1">
      <alignment horizontal="right"/>
    </xf>
    <xf xfId="0" borderId="0" fillId="0" fontId="12" numFmtId="2" applyAlignment="1" applyFont="1">
      <alignment horizontal="right"/>
    </xf>
    <xf xfId="0" borderId="0" fillId="0" fontId="12" numFmtId="172" applyAlignment="1" applyFont="1">
      <alignment horizontal="right"/>
    </xf>
    <xf xfId="0" borderId="0" fillId="0" fontId="6" numFmtId="0" quotePrefix="1" applyAlignment="1" applyFont="1">
      <alignment horizontal="center"/>
    </xf>
    <xf xfId="0" borderId="0" fillId="0" fontId="0" numFmtId="178" applyAlignment="1">
      <alignment horizontal="right"/>
    </xf>
    <xf xfId="0" borderId="0" fillId="0" fontId="0" numFmtId="179" applyAlignment="1">
      <alignment horizontal="right"/>
    </xf>
    <xf xfId="0" borderId="2" fillId="0" fontId="9" numFmtId="166" applyAlignment="1" applyFont="1">
      <alignment horizontal="right"/>
    </xf>
    <xf xfId="0" borderId="0" fillId="0" fontId="6" numFmtId="181" applyAlignment="1" applyFont="1">
      <alignment horizontal="right"/>
    </xf>
    <xf xfId="0" borderId="0" fillId="0" fontId="0" numFmtId="183" applyAlignment="1">
      <alignment horizontal="right"/>
    </xf>
    <xf xfId="0" borderId="2" fillId="0" fontId="9" numFmtId="183" applyAlignment="1" applyFont="1">
      <alignment horizontal="right"/>
    </xf>
    <xf xfId="0" borderId="0" fillId="2" fontId="14" numFmtId="183" applyAlignment="1" applyFont="1" applyFill="1">
      <alignment horizontal="right"/>
    </xf>
    <xf xfId="0" borderId="0" fillId="0" fontId="0" numFmtId="184" applyAlignment="1">
      <alignment horizontal="right"/>
    </xf>
    <xf xfId="0" borderId="0" fillId="0" fontId="0" numFmtId="185" applyAlignment="1">
      <alignment horizontal="right"/>
    </xf>
    <xf xfId="0" borderId="0" fillId="4" fontId="12" numFmtId="3" applyAlignment="1" applyFont="1" applyFill="1">
      <alignment horizontal="right"/>
    </xf>
    <xf xfId="0" borderId="0" fillId="0" fontId="12" numFmtId="179" applyAlignment="1" applyFont="1">
      <alignment horizontal="right"/>
    </xf>
    <xf xfId="0" borderId="0" fillId="0" fontId="12" numFmtId="180" applyAlignment="1" applyFont="1">
      <alignment horizontal="right"/>
    </xf>
    <xf xfId="0" borderId="0" fillId="4" fontId="12" numFmtId="1" applyAlignment="1" applyFont="1" applyFill="1">
      <alignment horizontal="right"/>
    </xf>
    <xf xfId="0" borderId="0" fillId="0" fontId="12" numFmtId="170" applyAlignment="1" applyFont="1">
      <alignment horizontal="right"/>
    </xf>
    <xf xfId="0" borderId="0" fillId="0" fontId="12" numFmtId="1" applyAlignment="1" applyFont="1">
      <alignment horizontal="right"/>
    </xf>
    <xf xfId="0" borderId="0" fillId="0" fontId="12" numFmtId="183" applyAlignment="1" applyFont="1">
      <alignment horizontal="right"/>
    </xf>
    <xf xfId="0" borderId="0" fillId="4" fontId="23" numFmtId="165" applyAlignment="1" applyFont="1" applyFill="1">
      <alignment horizontal="right"/>
    </xf>
    <xf xfId="0" borderId="0" fillId="4" fontId="10" numFmtId="168" applyAlignment="1" applyFont="1" applyFill="1">
      <alignment horizontal="right"/>
    </xf>
    <xf xfId="0" borderId="0" fillId="2" fontId="14" numFmtId="167" applyAlignment="1" applyFont="1" applyFill="1">
      <alignment horizontal="right"/>
    </xf>
    <xf xfId="0" borderId="0" fillId="0" fontId="26" numFmtId="164" applyAlignment="1" applyFont="1">
      <alignment horizontal="right"/>
    </xf>
    <xf xfId="0" borderId="0" fillId="0" fontId="26" numFmtId="168" applyAlignment="1" applyFont="1">
      <alignment horizontal="right"/>
    </xf>
    <xf xfId="0" borderId="0" fillId="0" fontId="26" numFmtId="167" applyAlignment="1" applyFont="1">
      <alignment horizontal="right"/>
    </xf>
    <xf xfId="0" borderId="0" fillId="0" fontId="27" numFmtId="164" applyAlignment="1" applyFont="1">
      <alignment horizontal="right"/>
    </xf>
    <xf xfId="0" borderId="0" fillId="0" fontId="29" numFmtId="0" applyFont="1"/>
    <xf xfId="0" borderId="0" fillId="0" fontId="30" numFmtId="0" applyFont="1"/>
    <xf xfId="0" borderId="0" fillId="0" fontId="31" numFmtId="0" applyFont="1"/>
    <xf xfId="0" borderId="0" fillId="0" fontId="30" numFmtId="164" applyFont="1"/>
    <xf xfId="0" borderId="0" fillId="0" fontId="0" numFmtId="186" applyAlignment="1">
      <alignment horizontal="right"/>
    </xf>
    <xf xfId="0" borderId="0" fillId="0" fontId="9" numFmtId="179" applyAlignment="1" applyFont="1">
      <alignment horizontal="right"/>
    </xf>
    <xf xfId="0" borderId="0" fillId="4" fontId="12" numFmtId="168" applyAlignment="1" applyFont="1" applyFill="1">
      <alignment horizontal="right"/>
    </xf>
    <xf xfId="0" borderId="0" fillId="4" fontId="23" numFmtId="168" applyAlignment="1" applyFont="1" applyFill="1">
      <alignment horizontal="right"/>
    </xf>
    <xf xfId="0" borderId="0" fillId="4" fontId="23" numFmtId="3" applyAlignment="1" applyFont="1" applyFill="1">
      <alignment horizontal="right"/>
    </xf>
    <xf xfId="0" borderId="0" fillId="7" fontId="12" numFmtId="165" applyAlignment="1" applyFont="1" applyFill="1">
      <alignment horizontal="right"/>
    </xf>
    <xf xfId="0" borderId="0" fillId="0" fontId="26" numFmtId="164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_rels/chart3.xml.rels><?xml version="1.0" encoding="UTF-8" standalone="yes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>
                <a:solidFill>
                  <a:srgbClr val="002060"/>
                </a:solidFill>
              </a:defRPr>
            </a:pPr>
            <a:r>
              <a:rPr lang="en-US"/>
              <a:t>CWAN value per share by method vs $16.69 unaffected and $24.55 offer</a:t>
            </a:r>
          </a:p>
        </c:rich>
      </c:tx>
      <c:overlay val="0"/>
    </c:title>
    <c:plotArea>
      <c:barChart>
        <c:barDir val="col"/>
        <c:grouping val="stacked"/>
        <c:varyColors val="0"/>
        <c:ser>
          <c:idx val="0"/>
          <c:order val="0"/>
          <c:tx>
            <c:v>Low</c:v>
          </c:tx>
          <c:spPr>
            <a:noFill/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>
                    <a:solidFill>
                      <a:srgbClr val="404040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'Football field'!$M$7:$M$18</c:f>
              <c:strCache>
                <c:ptCount val="12"/>
                <c:pt idx="0">
                  <c:v>Comps EV / Rev</c:v>
                </c:pt>
                <c:pt idx="1">
                  <c:v>Comps EV / EBITDA</c:v>
                </c:pt>
                <c:pt idx="2">
                  <c:v>Precedents EV / Rev</c:v>
                </c:pt>
                <c:pt idx="3">
                  <c:v>Precedents EV / EBITDA</c:v>
                </c:pt>
                <c:pt idx="4">
                  <c:v>Premiums paid</c:v>
                </c:pt>
                <c:pt idx="5">
                  <c:v>DCF, SBC added back</c:v>
                </c:pt>
                <c:pt idx="6">
                  <c:v>DCF, SBC as cash</c:v>
                </c:pt>
                <c:pt idx="7">
                  <c:v>LBO, committed debt</c:v>
                </c:pt>
                <c:pt idx="8">
                  <c:v>52-week range</c:v>
                </c:pt>
                <c:pt idx="9">
                  <c:v>Analyst targets</c:v>
                </c:pt>
                <c:pt idx="10">
                  <c:v>PJT core avg.</c:v>
                </c:pt>
                <c:pt idx="11">
                  <c:v>JPM core avg.</c:v>
                </c:pt>
              </c:strCache>
            </c:strRef>
          </c:cat>
          <c:val>
            <c:numRef>
              <c:f>'Football field'!$N$7:$N$18</c:f>
              <c:numCache>
                <c:formatCode>$#,##0.00</c:formatCode>
                <c:ptCount val="12"/>
                <c:pt idx="0">
                  <c:v>12.535692246025764</c:v>
                </c:pt>
                <c:pt idx="1">
                  <c:v>18.87030926458471</c:v>
                </c:pt>
                <c:pt idx="2">
                  <c:v>16.008358170228316</c:v>
                </c:pt>
                <c:pt idx="3">
                  <c:v>19.444573208441735</c:v>
                </c:pt>
                <c:pt idx="4">
                  <c:v>21.142057500000004</c:v>
                </c:pt>
                <c:pt idx="5">
                  <c:v>21.778611917199548</c:v>
                </c:pt>
                <c:pt idx="6">
                  <c:v>17.6865267549396</c:v>
                </c:pt>
                <c:pt idx="7">
                  <c:v>20.606546267084536</c:v>
                </c:pt>
                <c:pt idx="8">
                  <c:v>15.75</c:v>
                </c:pt>
                <c:pt idx="9">
                  <c:v>25</c:v>
                </c:pt>
                <c:pt idx="10">
                  <c:v>17.3125</c:v>
                </c:pt>
                <c:pt idx="11">
                  <c:v>17.45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'Football field'!$R$7:$R$18</c15:f>
                <c15:dlblRangeCache>
                  <c:ptCount val="12"/>
                  <c:pt idx="0">
                    <c:v>$18.77</c:v>
                  </c:pt>
                  <c:pt idx="1">
                    <c:v>$21.49</c:v>
                  </c:pt>
                  <c:pt idx="2">
                    <c:v>$16.01</c:v>
                  </c:pt>
                  <c:pt idx="3">
                    <c:v>$19.44</c:v>
                  </c:pt>
                  <c:pt idx="4">
                    <c:v>$21.14</c:v>
                  </c:pt>
                  <c:pt idx="5">
                    <c:v>$21.78</c:v>
                  </c:pt>
                  <c:pt idx="6">
                    <c:v>$17.69</c:v>
                  </c:pt>
                  <c:pt idx="7">
                    <c:v>$20.61</c:v>
                  </c:pt>
                  <c:pt idx="8">
                    <c:v>$15.75</c:v>
                  </c:pt>
                  <c:pt idx="9">
                    <c:v>$25.00</c:v>
                  </c:pt>
                  <c:pt idx="10">
                    <c:v>$17.31</c:v>
                  </c:pt>
                  <c:pt idx="11">
                    <c:v>$17.45</c:v>
                  </c:pt>
                </c15:dlblRangeCache>
              </c15:datalabelsRange>
            </c:ext>
          </c:extLst>
        </c:ser>
        <c:ser>
          <c:idx val="1"/>
          <c:order val="1"/>
          <c:tx>
            <c:v>Value range</c:v>
          </c:tx>
          <c:spPr>
            <a:solidFill>
              <a:srgbClr val="2F5597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2F5597"/>
              </a:solidFill>
            </c:spPr>
          </c:dPt>
          <c:dPt>
            <c:idx val="1"/>
            <c:invertIfNegative val="0"/>
            <c:bubble3D val="0"/>
            <c:spPr>
              <a:solidFill>
                <a:srgbClr val="2F5597"/>
              </a:solidFill>
            </c:spPr>
          </c:dPt>
          <c:dPt>
            <c:idx val="2"/>
            <c:invertIfNegative val="0"/>
            <c:bubble3D val="0"/>
            <c:spPr>
              <a:solidFill>
                <a:srgbClr val="2F5597"/>
              </a:solidFill>
            </c:spPr>
          </c:dPt>
          <c:dPt>
            <c:idx val="3"/>
            <c:invertIfNegative val="0"/>
            <c:bubble3D val="0"/>
            <c:spPr>
              <a:solidFill>
                <a:srgbClr val="2F5597"/>
              </a:solidFill>
            </c:spPr>
          </c:dPt>
          <c:dPt>
            <c:idx val="4"/>
            <c:invertIfNegative val="0"/>
            <c:bubble3D val="0"/>
            <c:spPr>
              <a:solidFill>
                <a:srgbClr val="2F5597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2060"/>
              </a:solidFill>
            </c:spPr>
          </c:dPt>
          <c:dPt>
            <c:idx val="6"/>
            <c:invertIfNegative val="0"/>
            <c:bubble3D val="0"/>
            <c:spPr>
              <a:solidFill>
                <a:srgbClr val="002060"/>
              </a:solidFill>
            </c:spPr>
          </c:dPt>
          <c:dPt>
            <c:idx val="7"/>
            <c:invertIfNegative val="0"/>
            <c:bubble3D val="0"/>
            <c:spPr>
              <a:solidFill>
                <a:srgbClr val="002060"/>
              </a:solidFill>
            </c:spPr>
          </c:dPt>
          <c:dPt>
            <c:idx val="8"/>
            <c:invertIfNegative val="0"/>
            <c:bubble3D val="0"/>
            <c:spPr>
              <a:solidFill>
                <a:srgbClr val="A6A6A6"/>
              </a:solidFill>
            </c:spPr>
          </c:dPt>
          <c:dPt>
            <c:idx val="9"/>
            <c:invertIfNegative val="0"/>
            <c:bubble3D val="0"/>
            <c:spPr>
              <a:solidFill>
                <a:srgbClr val="A6A6A6"/>
              </a:solidFill>
            </c:spPr>
          </c:dPt>
          <c:dPt>
            <c:idx val="10"/>
            <c:invertIfNegative val="0"/>
            <c:bubble3D val="0"/>
            <c:spPr>
              <a:solidFill>
                <a:srgbClr val="8FAADC"/>
              </a:solidFill>
            </c:spPr>
          </c:dPt>
          <c:dPt>
            <c:idx val="11"/>
            <c:invertIfNegative val="0"/>
            <c:bubble3D val="0"/>
            <c:spPr>
              <a:solidFill>
                <a:srgbClr val="8FAADC"/>
              </a:solidFill>
            </c:spPr>
          </c:dPt>
          <c:dLbls>
            <c:txPr>
              <a:bodyPr/>
              <a:lstStyle/>
              <a:p>
                <a:pPr>
                  <a:defRPr sz="800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'Football field'!$M$7:$M$18</c:f>
              <c:strCache>
                <c:ptCount val="12"/>
                <c:pt idx="0">
                  <c:v>Comps EV / Rev</c:v>
                </c:pt>
                <c:pt idx="1">
                  <c:v>Comps EV / EBITDA</c:v>
                </c:pt>
                <c:pt idx="2">
                  <c:v>Precedents EV / Rev</c:v>
                </c:pt>
                <c:pt idx="3">
                  <c:v>Precedents EV / EBITDA</c:v>
                </c:pt>
                <c:pt idx="4">
                  <c:v>Premiums paid</c:v>
                </c:pt>
                <c:pt idx="5">
                  <c:v>DCF, SBC added back</c:v>
                </c:pt>
                <c:pt idx="6">
                  <c:v>DCF, SBC as cash</c:v>
                </c:pt>
                <c:pt idx="7">
                  <c:v>LBO, committed debt</c:v>
                </c:pt>
                <c:pt idx="8">
                  <c:v>52-week range</c:v>
                </c:pt>
                <c:pt idx="9">
                  <c:v>Analyst targets</c:v>
                </c:pt>
                <c:pt idx="10">
                  <c:v>PJT core avg.</c:v>
                </c:pt>
                <c:pt idx="11">
                  <c:v>JPM core avg.</c:v>
                </c:pt>
              </c:strCache>
            </c:strRef>
          </c:cat>
          <c:val>
            <c:numRef>
              <c:f>'Football field'!$O$7:$O$18</c:f>
              <c:numCache>
                <c:formatCode>$#,##0.00</c:formatCode>
                <c:ptCount val="12"/>
                <c:pt idx="0">
                  <c:v>9.570896417441176</c:v>
                </c:pt>
                <c:pt idx="1">
                  <c:v>7.198070156370338</c:v>
                </c:pt>
                <c:pt idx="2">
                  <c:v>5.776327701212182</c:v>
                </c:pt>
                <c:pt idx="3">
                  <c:v>16.564884143701416</c:v>
                </c:pt>
                <c:pt idx="4">
                  <c:v>4.852617500000001</c:v>
                </c:pt>
                <c:pt idx="5">
                  <c:v>5.461842559096247</c:v>
                </c:pt>
                <c:pt idx="6">
                  <c:v>4.731014357577102</c:v>
                </c:pt>
                <c:pt idx="7">
                  <c:v>3.6517395181352335</c:v>
                </c:pt>
                <c:pt idx="8">
                  <c:v>17</c:v>
                </c:pt>
                <c:pt idx="9">
                  <c:v>11</c:v>
                </c:pt>
                <c:pt idx="10">
                  <c:v>8.5</c:v>
                </c:pt>
                <c:pt idx="11">
                  <c:v>11.75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'Football field'!$S$7:$S$18</c15:f>
                <c15:dlblRangeCache>
                  <c:ptCount val="12"/>
                  <c:pt idx="0">
                    <c:v>$23.78</c:v>
                  </c:pt>
                  <c:pt idx="1">
                    <c:v>$27.03</c:v>
                  </c:pt>
                  <c:pt idx="2">
                    <c:v>$21.78</c:v>
                  </c:pt>
                  <c:pt idx="3">
                    <c:v>$36.01</c:v>
                  </c:pt>
                  <c:pt idx="4">
                    <c:v>$25.99</c:v>
                  </c:pt>
                  <c:pt idx="5">
                    <c:v>$27.24</c:v>
                  </c:pt>
                  <c:pt idx="6">
                    <c:v>$22.42</c:v>
                  </c:pt>
                  <c:pt idx="7">
                    <c:v>$24.26</c:v>
                  </c:pt>
                  <c:pt idx="8">
                    <c:v>$32.75</c:v>
                  </c:pt>
                  <c:pt idx="9">
                    <c:v>$36.00</c:v>
                  </c:pt>
                  <c:pt idx="10">
                    <c:v>$25.81</c:v>
                  </c:pt>
                  <c:pt idx="11">
                    <c:v>$29.20</c:v>
                  </c:pt>
                </c15:dlblRangeCache>
              </c15:datalabelsRange>
            </c:ext>
          </c:extLst>
        </c:ser>
        <c:gapWidth val="50"/>
        <c:overlap val="100"/>
        <c:axId val="111111111"/>
        <c:axId val="222222222"/>
      </c:barChart>
      <c:lineChart>
        <c:grouping val="standard"/>
        <c:varyColors val="0"/>
        <c:ser>
          <c:idx val="2"/>
          <c:order val="2"/>
          <c:tx>
            <c:v>Unaffected $16.69</c:v>
          </c:tx>
          <c:spPr>
            <a:ln w="25400">
              <a:solidFill>
                <a:srgbClr val="C00000"/>
              </a:solidFill>
              <a:prstDash val="dash"/>
            </a:ln>
          </c:spPr>
          <c:marker>
            <c:symbol val="none"/>
            <c:size val="5"/>
          </c:marker>
          <c:val>
            <c:numRef>
              <c:f>'Football field'!$P$7:$P$18</c:f>
              <c:numCache>
                <c:formatCode>$#,##0.00</c:formatCode>
                <c:ptCount val="12"/>
                <c:pt idx="0">
                  <c:v>16.69</c:v>
                </c:pt>
                <c:pt idx="1">
                  <c:v>16.69</c:v>
                </c:pt>
                <c:pt idx="2">
                  <c:v>16.69</c:v>
                </c:pt>
                <c:pt idx="3">
                  <c:v>16.69</c:v>
                </c:pt>
                <c:pt idx="4">
                  <c:v>16.69</c:v>
                </c:pt>
                <c:pt idx="5">
                  <c:v>16.69</c:v>
                </c:pt>
                <c:pt idx="6">
                  <c:v>16.69</c:v>
                </c:pt>
                <c:pt idx="7">
                  <c:v>16.69</c:v>
                </c:pt>
                <c:pt idx="8">
                  <c:v>16.69</c:v>
                </c:pt>
                <c:pt idx="9">
                  <c:v>16.69</c:v>
                </c:pt>
                <c:pt idx="10">
                  <c:v>16.69</c:v>
                </c:pt>
                <c:pt idx="11">
                  <c:v>16.69</c:v>
                </c:pt>
              </c:numCache>
            </c:numRef>
          </c:val>
        </c:ser>
        <c:ser>
          <c:idx val="3"/>
          <c:order val="3"/>
          <c:tx>
            <c:v>Offer $24.55</c:v>
          </c:tx>
          <c:spPr>
            <a:ln w="25400">
              <a:solidFill>
                <a:srgbClr val="00B050"/>
              </a:solidFill>
            </a:ln>
          </c:spPr>
          <c:marker>
            <c:symbol val="none"/>
            <c:size val="5"/>
          </c:marker>
          <c:val>
            <c:numRef>
              <c:f>'Football field'!$Q$7:$Q$18</c:f>
              <c:numCache>
                <c:formatCode>$#,##0.00</c:formatCode>
                <c:ptCount val="12"/>
                <c:pt idx="0">
                  <c:v>24.55</c:v>
                </c:pt>
                <c:pt idx="1">
                  <c:v>24.55</c:v>
                </c:pt>
                <c:pt idx="2">
                  <c:v>24.55</c:v>
                </c:pt>
                <c:pt idx="3">
                  <c:v>24.55</c:v>
                </c:pt>
                <c:pt idx="4">
                  <c:v>24.55</c:v>
                </c:pt>
                <c:pt idx="5">
                  <c:v>24.55</c:v>
                </c:pt>
                <c:pt idx="6">
                  <c:v>24.55</c:v>
                </c:pt>
                <c:pt idx="7">
                  <c:v>24.55</c:v>
                </c:pt>
                <c:pt idx="8">
                  <c:v>24.55</c:v>
                </c:pt>
                <c:pt idx="9">
                  <c:v>24.55</c:v>
                </c:pt>
                <c:pt idx="10">
                  <c:v>24.55</c:v>
                </c:pt>
                <c:pt idx="11">
                  <c:v>24.55</c:v>
                </c:pt>
              </c:numCache>
            </c:numRef>
          </c:val>
        </c:ser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xPr>
          <a:bodyPr/>
          <a:lstStyle/>
          <a:p>
            <a:pPr>
              <a:defRPr sz="900"/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  <c:max val="40"/>
          <c:min val="10"/>
        </c:scaling>
        <c:delete val="0"/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$0" sourceLinked="0"/>
        <c:txPr>
          <a:bodyPr/>
          <a:lstStyle/>
          <a:p>
            <a:pPr>
              <a:defRPr sz="900"/>
            </a:pPr>
            <a:endParaRPr lang="en-US"/>
          </a:p>
        </c:txPr>
        <c:crossAx val="111111111"/>
        <c:crosses val="autoZero"/>
        <c:majorUnit val="5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</c:legend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000" b="1"/>
            </a:pPr>
            <a:r>
              <a:rPr lang="en-US"/>
              <a:t>EV / CY26E revenue at the 10-Nov-25 unaffected date</a:t>
            </a:r>
          </a:p>
        </c:rich>
      </c:tx>
      <c:overlay val="0"/>
    </c:title>
    <c:plotArea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</c:spPr>
          </c:dPt>
          <c:dPt>
            <c:idx val="1"/>
            <c:invertIfNegative val="0"/>
            <c:bubble3D val="0"/>
            <c:spPr>
              <a:solidFill>
                <a:srgbClr val="8EA9DB"/>
              </a:solidFill>
            </c:spPr>
          </c:dPt>
          <c:dPt>
            <c:idx val="2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3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4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5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6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7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8"/>
            <c:invertIfNegative val="0"/>
            <c:bubble3D val="0"/>
            <c:spPr>
              <a:solidFill>
                <a:srgbClr val="5B9BD5"/>
              </a:solidFill>
            </c:spPr>
          </c:dPt>
          <c:dPt>
            <c:idx val="9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0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1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2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3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4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5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6"/>
            <c:invertIfNegative val="0"/>
            <c:bubble3D val="0"/>
            <c:spPr>
              <a:solidFill>
                <a:srgbClr val="70AD47"/>
              </a:solidFill>
            </c:spPr>
          </c:dPt>
          <c:dPt>
            <c:idx val="17"/>
            <c:invertIfNegative val="0"/>
            <c:bubble3D val="0"/>
            <c:spPr>
              <a:solidFill>
                <a:srgbClr val="A5A5A5"/>
              </a:solidFill>
            </c:spPr>
          </c:dPt>
          <c:dPt>
            <c:idx val="18"/>
            <c:invertIfNegative val="0"/>
            <c:bubble3D val="0"/>
            <c:spPr>
              <a:solidFill>
                <a:srgbClr val="A5A5A5"/>
              </a:solidFill>
            </c:spPr>
          </c:dPt>
          <c:dPt>
            <c:idx val="19"/>
            <c:invertIfNegative val="0"/>
            <c:bubble3D val="0"/>
            <c:spPr>
              <a:solidFill>
                <a:srgbClr val="A5A5A5"/>
              </a:solidFill>
            </c:spPr>
          </c:dPt>
          <c:dLbls>
            <c:numFmt formatCode="0.0&quot;x&quot;"/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Comps!$V$83:$V$102</c:f>
              <c:strCache>
                <c:ptCount val="20"/>
                <c:pt idx="0">
                  <c:v>CWAN – offer (mgmt)</c:v>
                </c:pt>
                <c:pt idx="1">
                  <c:v>CWAN – unaffected (mgmt)</c:v>
                </c:pt>
                <c:pt idx="2">
                  <c:v>Guidewire Software</c:v>
                </c:pt>
                <c:pt idx="3">
                  <c:v>Intapp</c:v>
                </c:pt>
                <c:pt idx="4">
                  <c:v>Q2 Holdings</c:v>
                </c:pt>
                <c:pt idx="5">
                  <c:v>CCC Intelligent Solutions</c:v>
                </c:pt>
                <c:pt idx="6">
                  <c:v>nCino</c:v>
                </c:pt>
                <c:pt idx="7">
                  <c:v>Alkami Technology</c:v>
                </c:pt>
                <c:pt idx="8">
                  <c:v>SS&amp;C Technologies</c:v>
                </c:pt>
                <c:pt idx="9">
                  <c:v>Veeva Systems</c:v>
                </c:pt>
                <c:pt idx="10">
                  <c:v>Nemetschek</c:v>
                </c:pt>
                <c:pt idx="11">
                  <c:v>Bentley Systems</c:v>
                </c:pt>
                <c:pt idx="12">
                  <c:v>Procore Technologies</c:v>
                </c:pt>
                <c:pt idx="13">
                  <c:v>Cellebrite</c:v>
                </c:pt>
                <c:pt idx="14">
                  <c:v>Tyler Technologies</c:v>
                </c:pt>
                <c:pt idx="15">
                  <c:v>AppFolio</c:v>
                </c:pt>
                <c:pt idx="16">
                  <c:v>Vertex</c:v>
                </c:pt>
                <c:pt idx="17">
                  <c:v>Descartes Systems</c:v>
                </c:pt>
                <c:pt idx="18">
                  <c:v>Autodesk</c:v>
                </c:pt>
                <c:pt idx="19">
                  <c:v>Atlassian</c:v>
                </c:pt>
              </c:strCache>
            </c:strRef>
          </c:cat>
          <c:val>
            <c:numRef>
              <c:f>Comps!$W$83:$W$102</c:f>
              <c:numCache>
                <c:formatCode>0.0"x"</c:formatCode>
                <c:ptCount val="20"/>
                <c:pt idx="0">
                  <c:v>8.971346739117022</c:v>
                </c:pt>
                <c:pt idx="1">
                  <c:v>6.35194895169149</c:v>
                </c:pt>
                <c:pt idx="2">
                  <c:v>12.369700034849902</c:v>
                </c:pt>
                <c:pt idx="3">
                  <c:v>4.9576162091789815</c:v>
                </c:pt>
                <c:pt idx="4">
                  <c:v>5.485586936941581</c:v>
                </c:pt>
                <c:pt idx="5">
                  <c:v>4.980183121463416</c:v>
                </c:pt>
                <c:pt idx="6">
                  <c:v>4.963269616212832</c:v>
                </c:pt>
                <c:pt idx="7">
                  <c:v>4.249698139254545</c:v>
                </c:pt>
                <c:pt idx="8">
                  <c:v>4.184875942130133</c:v>
                </c:pt>
                <c:pt idx="9">
                  <c:v>12.339774684924695</c:v>
                </c:pt>
                <c:pt idx="10">
                  <c:v>7.963615360598351</c:v>
                </c:pt>
                <c:pt idx="11">
                  <c:v>9.252612515397473</c:v>
                </c:pt>
                <c:pt idx="12">
                  <c:v>7.928388893315144</c:v>
                </c:pt>
                <c:pt idx="13">
                  <c:v>6.123680570504348</c:v>
                </c:pt>
                <c:pt idx="14">
                  <c:v>7.80547540924521</c:v>
                </c:pt>
                <c:pt idx="15">
                  <c:v>8.091436087951378</c:v>
                </c:pt>
                <c:pt idx="16">
                  <c:v>3.7978709190799034</c:v>
                </c:pt>
                <c:pt idx="17">
                  <c:v>8.795575173059351</c:v>
                </c:pt>
                <c:pt idx="18">
                  <c:v>8.178939305843965</c:v>
                </c:pt>
                <c:pt idx="19">
                  <c:v>5.774496104419992</c:v>
                </c:pt>
              </c:numCache>
            </c:numRef>
          </c:val>
        </c:ser>
        <c:gapWidth val="40"/>
        <c:axId val="111111111"/>
        <c:axId val="222222222"/>
      </c:barChart>
      <c:catAx>
        <c:axId val="111111111"/>
        <c:scaling>
          <c:orientation val="maxMin"/>
        </c:scaling>
        <c:delete val="0"/>
        <c:axPos val="b"/>
        <c:txPr>
          <a:bodyPr/>
          <a:lstStyle/>
          <a:p>
            <a:pPr>
              <a:defRPr sz="700"/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  <c:min val="0"/>
        </c:scaling>
        <c:delete val="0"/>
        <c:axPos val="l"/>
        <c:numFmt formatCode="0.0&quot;x&quot;" sourceLinked="0"/>
        <c:tickLblPos val="high"/>
        <c:txPr>
          <a:bodyPr/>
          <a:lstStyle/>
          <a:p>
            <a:pPr>
              <a:defRPr sz="700"/>
            </a:pPr>
            <a:endParaRPr lang="en-US"/>
          </a:p>
        </c:txPr>
        <c:crossAx val="111111111"/>
        <c:crosses val="autoZero"/>
      </c:valAx>
    </c:plotArea>
    <c:plotVisOnly val="0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200" b="1">
                <a:solidFill>
                  <a:srgbClr val="002060"/>
                </a:solidFill>
              </a:defRPr>
            </a:pPr>
            <a:r>
              <a:rPr lang="en-US"/>
              <a:t>EV / NTM revenue by deal, oldest to newest (CWAN offer 9.0x)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EV / NTM revenue</c:v>
          </c:tx>
          <c:spPr>
            <a:solidFill>
              <a:srgbClr val="2F5597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A6A6A6"/>
              </a:solidFill>
            </c:spPr>
          </c:dPt>
          <c:dPt>
            <c:idx val="7"/>
            <c:invertIfNegative val="0"/>
            <c:bubble3D val="0"/>
            <c:spPr>
              <a:solidFill>
                <a:srgbClr val="A6A6A6"/>
              </a:solidFill>
            </c:spPr>
          </c:dPt>
          <c:dPt>
            <c:idx val="12"/>
            <c:invertIfNegative val="0"/>
            <c:bubble3D val="0"/>
            <c:spPr>
              <a:solidFill>
                <a:srgbClr val="A6A6A6"/>
              </a:solidFill>
            </c:spPr>
          </c:dPt>
          <c:dLbls>
            <c:numFmt formatCode="0.0&quot;x&quot;"/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Precedents!$C$7:$C$21</c:f>
              <c:strCache>
                <c:ptCount val="15"/>
                <c:pt idx="0">
                  <c:v>RealPage</c:v>
                </c:pt>
                <c:pt idx="1">
                  <c:v>Proofpoint</c:v>
                </c:pt>
                <c:pt idx="2">
                  <c:v>Inovalon</c:v>
                </c:pt>
                <c:pt idx="3">
                  <c:v>Black Knight</c:v>
                </c:pt>
                <c:pt idx="4">
                  <c:v>Coupa Software</c:v>
                </c:pt>
                <c:pt idx="5">
                  <c:v>Qualtrics</c:v>
                </c:pt>
                <c:pt idx="6">
                  <c:v>Cvent</c:v>
                </c:pt>
                <c:pt idx="7">
                  <c:v>SimCorp</c:v>
                </c:pt>
                <c:pt idx="8">
                  <c:v>PowerSchool</c:v>
                </c:pt>
                <c:pt idx="9">
                  <c:v>Envestnet</c:v>
                </c:pt>
                <c:pt idx="10">
                  <c:v>Instructure</c:v>
                </c:pt>
                <c:pt idx="11">
                  <c:v>Smartsheet</c:v>
                </c:pt>
                <c:pt idx="12">
                  <c:v>Enfusion</c:v>
                </c:pt>
                <c:pt idx="13">
                  <c:v>Sapiens</c:v>
                </c:pt>
                <c:pt idx="14">
                  <c:v>Dayforce</c:v>
                </c:pt>
              </c:strCache>
            </c:strRef>
          </c:cat>
          <c:val>
            <c:numRef>
              <c:f>Precedents!$L$7:$L$21</c:f>
              <c:numCache>
                <c:formatCode>0.0"x"</c:formatCode>
                <c:ptCount val="15"/>
                <c:pt idx="0">
                  <c:v>8.2</c:v>
                </c:pt>
                <c:pt idx="1">
                  <c:v>8</c:v>
                </c:pt>
                <c:pt idx="2">
                  <c:v>8.9</c:v>
                </c:pt>
                <c:pt idx="3">
                  <c:v>9</c:v>
                </c:pt>
                <c:pt idx="4">
                  <c:v>8.7</c:v>
                </c:pt>
                <c:pt idx="5">
                  <c:v>6.9</c:v>
                </c:pt>
                <c:pt idx="6">
                  <c:v>6.4</c:v>
                </c:pt>
                <c:pt idx="7">
                  <c:v>6.5</c:v>
                </c:pt>
                <c:pt idx="8">
                  <c:v>7.2</c:v>
                </c:pt>
                <c:pt idx="9">
                  <c:v>3.2</c:v>
                </c:pt>
                <c:pt idx="10">
                  <c:v>6.9</c:v>
                </c:pt>
                <c:pt idx="11">
                  <c:v>6.2</c:v>
                </c:pt>
                <c:pt idx="12">
                  <c:v>6.2</c:v>
                </c:pt>
                <c:pt idx="13">
                  <c:v>3.8</c:v>
                </c:pt>
                <c:pt idx="14">
                  <c:v>5.9</c:v>
                </c:pt>
              </c:numCache>
            </c:numRef>
          </c:val>
        </c:ser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CWAN offer 9.0x</c:v>
          </c:tx>
          <c:spPr>
            <a:ln w="25400">
              <a:solidFill>
                <a:srgbClr val="00B050"/>
              </a:solidFill>
            </a:ln>
          </c:spPr>
          <c:marker>
            <c:symbol val="none"/>
            <c:size val="5"/>
          </c:marker>
          <c:val>
            <c:numRef>
              <c:f>Precedents!$U$7:$U$21</c:f>
              <c:numCache>
                <c:formatCode>0.0"x"</c:formatCode>
                <c:ptCount val="15"/>
                <c:pt idx="0">
                  <c:v>8.971276595744682</c:v>
                </c:pt>
                <c:pt idx="1">
                  <c:v>8.971276595744682</c:v>
                </c:pt>
                <c:pt idx="2">
                  <c:v>8.971276595744682</c:v>
                </c:pt>
                <c:pt idx="3">
                  <c:v>8.971276595744682</c:v>
                </c:pt>
                <c:pt idx="4">
                  <c:v>8.971276595744682</c:v>
                </c:pt>
                <c:pt idx="5">
                  <c:v>8.971276595744682</c:v>
                </c:pt>
                <c:pt idx="6">
                  <c:v>8.971276595744682</c:v>
                </c:pt>
                <c:pt idx="7">
                  <c:v>8.971276595744682</c:v>
                </c:pt>
                <c:pt idx="8">
                  <c:v>8.971276595744682</c:v>
                </c:pt>
                <c:pt idx="9">
                  <c:v>8.971276595744682</c:v>
                </c:pt>
                <c:pt idx="10">
                  <c:v>8.971276595744682</c:v>
                </c:pt>
                <c:pt idx="11">
                  <c:v>8.971276595744682</c:v>
                </c:pt>
                <c:pt idx="12">
                  <c:v>8.971276595744682</c:v>
                </c:pt>
                <c:pt idx="13">
                  <c:v>8.971276595744682</c:v>
                </c:pt>
                <c:pt idx="14">
                  <c:v>8.971276595744682</c:v>
                </c:pt>
              </c:numCache>
            </c:numRef>
          </c:val>
        </c:ser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xPr>
          <a:bodyPr/>
          <a:lstStyle/>
          <a:p>
            <a:pPr>
              <a:defRPr sz="900"/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  <c:max val="10"/>
          <c:min val="0"/>
        </c:scaling>
        <c:delete val="0"/>
        <c:axPos val="l"/>
        <c:numFmt formatCode="0.0&quot;x&quot;" sourceLinked="0"/>
        <c:crossAx val="111111111"/>
        <c:crosses val="autoZero"/>
      </c:valAx>
    </c:plotArea>
    <c:legend>
      <c:legendPos val="b"/>
      <c:overlay val="0"/>
    </c:legend>
    <c:dispBlanksAs val="gap"/>
  </c:char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37</xdr:row>
      <xdr:rowOff>0</xdr:rowOff>
    </xdr:from>
    <xdr:to>
      <xdr:col>10</xdr:col>
      <xdr:colOff>0</xdr:colOff>
      <xdr:row>66</xdr:row>
      <xdr:rowOff>0</xdr:rowOff>
    </xdr:to>
    <xdr:graphicFrame macro="">
      <xdr:nvGraphicFramePr>
        <xdr:cNvPr id="1" name="FootballField">
          <a:extLst>
            <a:ext uri="{FF2B5EF4-FFF2-40B4-BE49-F238E27FC236}">
              <a16:creationId xmlns:a16="http://schemas.microsoft.com/office/drawing/2014/main" id="{00000001-2933-4C1D-8CA1-000000000003}"/>
            </a:ext>
          </a:extLst>
        </xdr:cNvPr>
        <xdr:cNvGraphicFramePr/>
      </xdr:nvGraphicFramePr>
      <xdr:xfrm>
        <a:off x="0" y="0"/>
        <a:ext cx="14963775" cy="552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83</xdr:row>
      <xdr:rowOff>0</xdr:rowOff>
    </xdr:from>
    <xdr:to>
      <xdr:col>11</xdr:col>
      <xdr:colOff>0</xdr:colOff>
      <xdr:row>108</xdr:row>
      <xdr:rowOff>0</xdr:rowOff>
    </xdr:to>
    <xdr:graphicFrame macro="">
      <xdr:nvGraphicFramePr>
        <xdr:cNvPr id="1" name="Chart 1">
          <a:extLst>
            <a:ext uri="{FF2B5EF4-FFF2-40B4-BE49-F238E27FC236}">
              <a16:creationId xmlns:a16="http://schemas.microsoft.com/office/drawing/2014/main" id="{00000003-212D-4C1D-8CA1-000000000001}"/>
            </a:ext>
          </a:extLst>
        </xdr:cNvPr>
        <xdr:cNvGraphicFramePr/>
      </xdr:nvGraphicFramePr>
      <xdr:xfrm>
        <a:off x="0" y="0"/>
        <a:ext cx="10544175" cy="4762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57</xdr:row>
      <xdr:rowOff>0</xdr:rowOff>
    </xdr:from>
    <xdr:to>
      <xdr:col>12</xdr:col>
      <xdr:colOff>0</xdr:colOff>
      <xdr:row>80</xdr:row>
      <xdr:rowOff>0</xdr:rowOff>
    </xdr:to>
    <xdr:graphicFrame macro="">
      <xdr:nvGraphicFramePr>
        <xdr:cNvPr id="1" name="PrecedentMultiples">
          <a:extLst>
            <a:ext uri="{FF2B5EF4-FFF2-40B4-BE49-F238E27FC236}">
              <a16:creationId xmlns:a16="http://schemas.microsoft.com/office/drawing/2014/main" id="{00000000-8A87-4C1D-8CA1-000000000004}"/>
            </a:ext>
          </a:extLst>
        </xdr:cNvPr>
        <xdr:cNvGraphicFramePr/>
      </xdr:nvGraphicFramePr>
      <xdr:xfrm>
        <a:off x="0" y="0"/>
        <a:ext cx="12315825" cy="4381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comments" Target="../comments3.xml"/><Relationship Id="rId3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comments" Target="../comments4.xml"/><Relationship Id="rId3" Type="http://schemas.openxmlformats.org/officeDocument/2006/relationships/vmlDrawing" Target="../drawings/comments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comments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5"/>
  <sheetViews>
    <sheetView showGridLines="0" tabSelected="1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43.7890625" customWidth="1"/>
    <col min="3" max="3" width="55.21875" customWidth="1"/>
    <col min="4" max="9" width="14.7890625" customWidth="1"/>
    <col min="10" max="10" width="36.07421875" customWidth="1"/>
    <col min="11" max="12" width="3.7890625" customWidth="1"/>
    <col min="13" max="13" width="26.64453125" customWidth="1"/>
    <col min="14" max="19" width="11.359375" customWidth="1"/>
  </cols>
  <sheetData>
    <row r="1" ht="8" customHeight="1"/>
    <row r="2">
      <c r="B2" t="s" s="141">
        <v>599</v>
      </c>
    </row>
    <row r="3">
      <c r="B3" t="s" s="142">
        <v>600</v>
      </c>
    </row>
    <row r="5" ht="28" customHeight="1">
      <c r="B5" t="s" s="144">
        <v>245</v>
      </c>
      <c r="C5" t="s" s="144">
        <v>226</v>
      </c>
      <c r="D5" t="s" s="143">
        <v>279</v>
      </c>
      <c r="E5" t="s" s="143">
        <v>280</v>
      </c>
      <c r="F5" t="s" s="143">
        <v>619</v>
      </c>
      <c r="G5" t="s" s="143">
        <v>620</v>
      </c>
      <c r="H5" t="s" s="143">
        <v>621</v>
      </c>
      <c r="I5" t="s" s="143">
        <v>622</v>
      </c>
      <c r="J5" t="s" s="144">
        <v>623</v>
      </c>
      <c r="M5" t="s" s="274">
        <v>631</v>
      </c>
      <c r="N5" s="275"/>
      <c r="O5" s="275"/>
      <c r="P5" s="275"/>
      <c r="Q5" s="275"/>
      <c r="R5" s="275"/>
      <c r="S5" s="275"/>
    </row>
    <row r="6">
      <c r="B6" t="s" s="125">
        <v>601</v>
      </c>
      <c r="C6" s="125"/>
      <c r="D6" s="125"/>
      <c r="E6" s="125"/>
      <c r="F6" s="125"/>
      <c r="G6" s="125"/>
      <c r="H6" s="125"/>
      <c r="I6" s="125"/>
      <c r="J6" s="125"/>
      <c r="M6" t="s" s="276">
        <v>245</v>
      </c>
      <c r="N6" t="s" s="276">
        <v>277</v>
      </c>
      <c r="O6" t="s" s="276">
        <v>632</v>
      </c>
      <c r="P6" t="s" s="276">
        <v>639</v>
      </c>
      <c r="Q6" t="s" s="276">
        <v>640</v>
      </c>
      <c r="R6" t="s" s="276">
        <v>655</v>
      </c>
      <c r="S6" t="s" s="276">
        <v>656</v>
      </c>
    </row>
    <row r="7">
      <c r="B7" t="s">
        <v>602</v>
      </c>
      <c r="C7" t="str" s="142">
        <f>"All "&amp;SUM(Comps!$D$54:$F$54)&amp;" peers 25th-75th, "&amp;TEXT(Comps!D69,"0.0")&amp;"x-"&amp;TEXT(Comps!F69,"0.0")&amp;"x on $"&amp;TEXT(Comps!C69,"#,##0")&amp;"M"</f>
        <v>All 18 peers 25th-75th, 5.0x-8.2x on $940M</v>
      </c>
      <c r="D7" s="270">
        <f>Comps!G69</f>
        <v>12.535692246025764</v>
      </c>
      <c r="E7" s="270">
        <f>Comps!I69</f>
        <v>22.10658866346694</v>
      </c>
      <c r="F7" s="149">
        <f>AVERAGE(D7:E7)</f>
        <v>17.321140454746352</v>
      </c>
      <c r="G7" s="159">
        <f>$D$28/F7-1</f>
        <v>0.41734316306365327</v>
      </c>
      <c r="H7" s="151">
        <f>($D$28-D7)/(E7-D7)</f>
        <v>1.255295975419857</v>
      </c>
      <c r="I7" s="271">
        <f>Comps!J9</f>
        <v>8.971346739117022</v>
      </c>
      <c r="J7" t="s" s="142">
        <v>624</v>
      </c>
      <c r="M7" t="s" s="275">
        <v>643</v>
      </c>
      <c r="N7" s="277">
        <f>D7</f>
        <v>12.535692246025764</v>
      </c>
      <c r="O7" s="277">
        <f>E7-D7</f>
        <v>9.570896417441176</v>
      </c>
      <c r="P7" s="277">
        <f>$D$27</f>
        <v>16.69</v>
      </c>
      <c r="Q7" s="277">
        <f>$D$28</f>
        <v>24.55</v>
      </c>
      <c r="R7" t="str" s="275">
        <f>TEXT(D7,"$0.00")</f>
        <v>$12.54</v>
      </c>
      <c r="S7" t="str" s="275">
        <f>TEXT(E7,"$0.00")</f>
        <v>$22.11</v>
      </c>
    </row>
    <row r="8">
      <c r="B8" t="s">
        <v>603</v>
      </c>
      <c r="C8" t="str" s="142">
        <f>"All "&amp;SUM(Comps!$D$54:$F$54)&amp;" peers 25th-75th, "&amp;TEXT(Comps!D70,"0.0")&amp;"x-"&amp;TEXT(Comps!F70,"0.0")&amp;"x on $"&amp;TEXT(Comps!C70,"#,##0")&amp;"M"</f>
        <v>All 18 peers 25th-75th, 19.7x-26.4x on $338M</v>
      </c>
      <c r="D8" s="270">
        <f>Comps!G70</f>
        <v>18.87030926458471</v>
      </c>
      <c r="E8" s="270">
        <f>Comps!I70</f>
        <v>26.068379420955047</v>
      </c>
      <c r="F8" s="149">
        <f>AVERAGE(D8:E8)</f>
        <v>22.46934434276988</v>
      </c>
      <c r="G8" s="159">
        <f>$D$28/F8-1</f>
        <v>0.09259974948488559</v>
      </c>
      <c r="H8" s="151">
        <f>($D$28-D8)/(E8-D8)</f>
        <v>0.7890574295651632</v>
      </c>
      <c r="I8" s="271">
        <f>Comps!K9</f>
        <v>24.949899215295858</v>
      </c>
      <c r="J8" t="s" s="142">
        <v>625</v>
      </c>
      <c r="M8" t="s" s="275">
        <v>644</v>
      </c>
      <c r="N8" s="277">
        <f>D8</f>
        <v>18.87030926458471</v>
      </c>
      <c r="O8" s="277">
        <f>E8-D8</f>
        <v>7.198070156370338</v>
      </c>
      <c r="P8" s="277">
        <f>$D$27</f>
        <v>16.69</v>
      </c>
      <c r="Q8" s="277">
        <f>$D$28</f>
        <v>24.55</v>
      </c>
      <c r="R8" t="str" s="275">
        <f>TEXT(D8,"$0.00")</f>
        <v>$18.87</v>
      </c>
      <c r="S8" t="str" s="275">
        <f>TEXT(E8,"$0.00")</f>
        <v>$26.07</v>
      </c>
    </row>
    <row r="9">
      <c r="B9" t="s">
        <v>604</v>
      </c>
      <c r="C9" t="str" s="142">
        <f>"Sponsor deals 25th-75th, "&amp;TEXT(Precedents!I41,"0.0")&amp;"x-"&amp;TEXT(Precedents!K41,"0.0")&amp;"x"</f>
        <v>Sponsor deals 25th-75th, 6.1x-8.1x</v>
      </c>
      <c r="D9" s="270">
        <f>Precedents!L41</f>
        <v>16.008358170228316</v>
      </c>
      <c r="E9" s="270">
        <f>Precedents!N41</f>
        <v>21.784685871440498</v>
      </c>
      <c r="F9" s="149">
        <f>AVERAGE(D9:E9)</f>
        <v>18.896522020834407</v>
      </c>
      <c r="G9" s="159">
        <f>$D$28/F9-1</f>
        <v>0.2991808742864077</v>
      </c>
      <c r="H9" s="151">
        <f>($D$28-D9)/(E9-D9)</f>
        <v>1.4787322104282954</v>
      </c>
      <c r="I9" s="271">
        <f>Precedents!L31</f>
        <v>8.971276595744682</v>
      </c>
      <c r="J9" t="s" s="142">
        <v>626</v>
      </c>
      <c r="M9" t="s" s="275">
        <v>645</v>
      </c>
      <c r="N9" s="277">
        <f>D9</f>
        <v>16.008358170228316</v>
      </c>
      <c r="O9" s="277">
        <f>E9-D9</f>
        <v>5.776327701212182</v>
      </c>
      <c r="P9" s="277">
        <f>$D$27</f>
        <v>16.69</v>
      </c>
      <c r="Q9" s="277">
        <f>$D$28</f>
        <v>24.55</v>
      </c>
      <c r="R9" t="str" s="275">
        <f>TEXT(D9,"$0.00")</f>
        <v>$16.01</v>
      </c>
      <c r="S9" t="str" s="275">
        <f>TEXT(E9,"$0.00")</f>
        <v>$21.78</v>
      </c>
    </row>
    <row r="10">
      <c r="B10" t="s">
        <v>605</v>
      </c>
      <c r="C10" t="str" s="142">
        <f>"Sponsor deals 25th-75th, "&amp;TEXT(Precedents!I42,"0.0")&amp;"x-"&amp;TEXT(Precedents!K42,"0.0")&amp;"x"</f>
        <v>Sponsor deals 25th-75th, 20.2x-35.6x</v>
      </c>
      <c r="D10" s="270">
        <f>Precedents!L42</f>
        <v>19.444573208441735</v>
      </c>
      <c r="E10" s="270">
        <f>Precedents!N42</f>
        <v>36.00945735214315</v>
      </c>
      <c r="F10" s="149">
        <f>AVERAGE(D10:E10)</f>
        <v>27.72701528029244</v>
      </c>
      <c r="G10" s="159">
        <f>$D$28/F10-1</f>
        <v>-0.11458194285161916</v>
      </c>
      <c r="H10" s="151">
        <f>($D$28-D10)/(E10-D10)</f>
        <v>0.3082078176501789</v>
      </c>
      <c r="I10" s="271">
        <f>Precedents!M31</f>
        <v>24.949704142011836</v>
      </c>
      <c r="J10" t="s" s="142">
        <v>627</v>
      </c>
      <c r="M10" t="s" s="275">
        <v>646</v>
      </c>
      <c r="N10" s="277">
        <f>D10</f>
        <v>19.444573208441735</v>
      </c>
      <c r="O10" s="277">
        <f>E10-D10</f>
        <v>16.564884143701416</v>
      </c>
      <c r="P10" s="277">
        <f>$D$27</f>
        <v>16.69</v>
      </c>
      <c r="Q10" s="277">
        <f>$D$28</f>
        <v>24.55</v>
      </c>
      <c r="R10" t="str" s="275">
        <f>TEXT(D10,"$0.00")</f>
        <v>$19.44</v>
      </c>
      <c r="S10" t="str" s="275">
        <f>TEXT(E10,"$0.00")</f>
        <v>$36.01</v>
      </c>
    </row>
    <row r="11">
      <c r="B11" t="s">
        <v>606</v>
      </c>
      <c r="C11" t="str" s="142">
        <f>"Sponsor deals 25th-75th, "&amp;TEXT(Precedents!I43,"0%")&amp;"-"&amp;TEXT(Precedents!K43,"0%")</f>
        <v>Sponsor deals 25th-75th, 27%-56%</v>
      </c>
      <c r="D11" s="270">
        <f>Precedents!L43</f>
        <v>21.142057500000004</v>
      </c>
      <c r="E11" s="270">
        <f>Precedents!N43</f>
        <v>25.994675000000004</v>
      </c>
      <c r="F11" s="149">
        <f>AVERAGE(D11:E11)</f>
        <v>23.568366250000004</v>
      </c>
      <c r="G11" s="159">
        <f>$D$28/F11-1</f>
        <v>0.041650479273250385</v>
      </c>
      <c r="H11" s="151">
        <f>($D$28-D11)/(E11-D11)</f>
        <v>0.7022895375537009</v>
      </c>
      <c r="I11" s="272">
        <f>Precedents!N31</f>
        <v>0.4709406830437386</v>
      </c>
      <c r="J11" t="s" s="142">
        <v>628</v>
      </c>
      <c r="M11" t="s" s="275">
        <v>647</v>
      </c>
      <c r="N11" s="277">
        <f>D11</f>
        <v>21.142057500000004</v>
      </c>
      <c r="O11" s="277">
        <f>E11-D11</f>
        <v>4.852617500000001</v>
      </c>
      <c r="P11" s="277">
        <f>$D$27</f>
        <v>16.69</v>
      </c>
      <c r="Q11" s="277">
        <f>$D$28</f>
        <v>24.55</v>
      </c>
      <c r="R11" t="str" s="275">
        <f>TEXT(D11,"$0.00")</f>
        <v>$21.14</v>
      </c>
      <c r="S11" t="str" s="275">
        <f>TEXT(E11,"$0.00")</f>
        <v>$25.99</v>
      </c>
    </row>
    <row r="12">
      <c r="C12" s="142"/>
      <c r="D12" s="149"/>
      <c r="E12" s="149"/>
      <c r="F12" s="149"/>
      <c r="G12" s="159"/>
      <c r="H12" s="151"/>
      <c r="I12" s="146"/>
      <c r="J12" s="142"/>
      <c r="M12" t="s" s="275">
        <v>648</v>
      </c>
      <c r="N12" s="277">
        <f>D14</f>
        <v>21.778611917199548</v>
      </c>
      <c r="O12" s="277">
        <f>E14-D14</f>
        <v>5.461842559096247</v>
      </c>
      <c r="P12" s="277">
        <f>$D$27</f>
        <v>16.69</v>
      </c>
      <c r="Q12" s="277">
        <f>$D$28</f>
        <v>24.55</v>
      </c>
      <c r="R12" t="str" s="275">
        <f>TEXT(D14,"$0.00")</f>
        <v>$21.78</v>
      </c>
      <c r="S12" t="str" s="275">
        <f>TEXT(E14,"$0.00")</f>
        <v>$27.24</v>
      </c>
    </row>
    <row r="13">
      <c r="B13" t="s" s="125">
        <v>607</v>
      </c>
      <c r="C13" s="162"/>
      <c r="D13" s="154"/>
      <c r="E13" s="154"/>
      <c r="F13" s="154"/>
      <c r="G13" s="269"/>
      <c r="H13" s="156"/>
      <c r="I13" s="134"/>
      <c r="J13" s="162"/>
      <c r="M13" t="s" s="275">
        <v>649</v>
      </c>
      <c r="N13" s="277">
        <f>D15</f>
        <v>17.6865267549396</v>
      </c>
      <c r="O13" s="277">
        <f>E15-D15</f>
        <v>4.731014357577102</v>
      </c>
      <c r="P13" s="277">
        <f>$D$27</f>
        <v>16.69</v>
      </c>
      <c r="Q13" s="277">
        <f>$D$28</f>
        <v>24.55</v>
      </c>
      <c r="R13" t="str" s="275">
        <f>TEXT(D15,"$0.00")</f>
        <v>$17.69</v>
      </c>
      <c r="S13" t="str" s="275">
        <f>TEXT(E15,"$0.00")</f>
        <v>$22.42</v>
      </c>
    </row>
    <row r="14">
      <c r="B14" t="s">
        <v>433</v>
      </c>
      <c r="C14" t="str" s="142">
        <f>"Low at "&amp;DCF!F52&amp;", high at "&amp;DCF!G52&amp;" (WACC / g)"</f>
        <v>Low at 11.37% / 2.00%, high at 10.37% / 3.00% (WACC / g)</v>
      </c>
      <c r="D14" s="270">
        <f>DCF!C52</f>
        <v>21.778611917199548</v>
      </c>
      <c r="E14" s="270">
        <f>DCF!E52</f>
        <v>27.240454476295795</v>
      </c>
      <c r="F14" s="149">
        <f>AVERAGE(D14:E14)</f>
        <v>24.50953319674767</v>
      </c>
      <c r="G14" s="159">
        <f>$D$28/F14-1</f>
        <v>0.0016510638096403074</v>
      </c>
      <c r="H14" s="151">
        <f>($D$28-D14)/(E14-D14)</f>
        <v>0.5074090021479903</v>
      </c>
      <c r="I14" s="272">
        <f>DCF!C14</f>
        <v>0.014652344622634317</v>
      </c>
      <c r="J14" t="s" s="142">
        <v>629</v>
      </c>
      <c r="M14" t="s" s="275">
        <v>760</v>
      </c>
      <c r="N14" s="277">
        <f>D16</f>
        <v>20.606546267084536</v>
      </c>
      <c r="O14" s="277">
        <f>E16-D16</f>
        <v>3.6517395181352335</v>
      </c>
      <c r="P14" s="277">
        <f>$D$27</f>
        <v>16.69</v>
      </c>
      <c r="Q14" s="277">
        <f>$D$28</f>
        <v>24.55</v>
      </c>
      <c r="R14" t="str" s="275">
        <f>TEXT(D16,"$0.00")</f>
        <v>$20.61</v>
      </c>
      <c r="S14" t="str" s="275">
        <f>TEXT(E16,"$0.00")</f>
        <v>$24.26</v>
      </c>
    </row>
    <row r="15">
      <c r="B15" t="s">
        <v>434</v>
      </c>
      <c r="C15" t="str" s="142">
        <f>"Low at "&amp;DCF!F53&amp;", high at "&amp;DCF!G53&amp;" (WACC / g)"</f>
        <v>Low at 11.37% / 2.00%, high at 10.37% / 3.00% (WACC / g)</v>
      </c>
      <c r="D15" s="270">
        <f>DCF!C53</f>
        <v>17.6865267549396</v>
      </c>
      <c r="E15" s="270">
        <f>DCF!E53</f>
        <v>22.4175411125167</v>
      </c>
      <c r="F15" s="149">
        <f>AVERAGE(D15:E15)</f>
        <v>20.05203393372815</v>
      </c>
      <c r="G15" s="159">
        <f>$D$28/F15-1</f>
        <v>0.22431470449020785</v>
      </c>
      <c r="H15" s="151">
        <f>($D$28-D15)/(E15-D15)</f>
        <v>1.4507403119730538</v>
      </c>
      <c r="I15" s="272">
        <f>DCF!D14</f>
        <v>0.24121794244859984</v>
      </c>
      <c r="J15" t="s" s="142">
        <v>629</v>
      </c>
      <c r="M15" t="s" s="275">
        <v>651</v>
      </c>
      <c r="N15" s="277">
        <f>D19</f>
        <v>15.75</v>
      </c>
      <c r="O15" s="277">
        <f>E19-D19</f>
        <v>17</v>
      </c>
      <c r="P15" s="277">
        <f>$D$27</f>
        <v>16.69</v>
      </c>
      <c r="Q15" s="277">
        <f>$D$28</f>
        <v>24.55</v>
      </c>
      <c r="R15" t="str" s="275">
        <f>TEXT(D19,"$0.00")</f>
        <v>$15.75</v>
      </c>
      <c r="S15" t="str" s="275">
        <f>TEXT(E19,"$0.00")</f>
        <v>$32.75</v>
      </c>
    </row>
    <row r="16">
      <c r="B16" t="s">
        <v>758</v>
      </c>
      <c r="C16" t="str" s="142">
        <f>"IRR 25% to 20%, exit "&amp;TEXT(LBO!C49,"0.0")&amp;"x LTM 2030E EBITDA"</f>
        <v>IRR 25% to 20%, exit 22.0x LTM 2030E EBITDA</v>
      </c>
      <c r="D16" s="270">
        <f>LBO!C160</f>
        <v>20.606546267084536</v>
      </c>
      <c r="E16" s="270">
        <f>LBO!C161</f>
        <v>24.25828578521977</v>
      </c>
      <c r="F16" s="149">
        <f>AVERAGE(D16:E16)</f>
        <v>22.432416026152154</v>
      </c>
      <c r="G16" s="159">
        <f>$D$28/F16-1</f>
        <v>0.0943983907653605</v>
      </c>
      <c r="H16" s="151">
        <f>($D$28-D16)/(E16-D16)</f>
        <v>1.079883631713468</v>
      </c>
      <c r="I16" s="272">
        <f>LBO!H139</f>
        <v>0.19651291965289674</v>
      </c>
      <c r="J16" t="s" s="142">
        <v>759</v>
      </c>
      <c r="M16" t="s" s="275">
        <v>652</v>
      </c>
      <c r="N16" s="277">
        <f>D20</f>
        <v>25</v>
      </c>
      <c r="O16" s="277">
        <f>E20-D20</f>
        <v>11</v>
      </c>
      <c r="P16" s="277">
        <f>$D$27</f>
        <v>16.69</v>
      </c>
      <c r="Q16" s="277">
        <f>$D$28</f>
        <v>24.55</v>
      </c>
      <c r="R16" t="str" s="275">
        <f>TEXT(D20,"$0.00")</f>
        <v>$25.00</v>
      </c>
      <c r="S16" t="str" s="275">
        <f>TEXT(E20,"$0.00")</f>
        <v>$36.00</v>
      </c>
    </row>
    <row r="17">
      <c r="C17" s="142"/>
      <c r="D17" s="149"/>
      <c r="E17" s="149"/>
      <c r="F17" s="149"/>
      <c r="G17" s="159"/>
      <c r="H17" s="151"/>
      <c r="I17" s="146"/>
      <c r="M17" t="s" s="275">
        <v>653</v>
      </c>
      <c r="N17" s="277">
        <f>D23</f>
        <v>17.3125</v>
      </c>
      <c r="O17" s="277">
        <f>E23-D23</f>
        <v>8.5</v>
      </c>
      <c r="P17" s="277">
        <f>$D$27</f>
        <v>16.69</v>
      </c>
      <c r="Q17" s="277">
        <f>$D$28</f>
        <v>24.55</v>
      </c>
      <c r="R17" t="str" s="275">
        <f>TEXT(D23,"$0.00")</f>
        <v>$17.31</v>
      </c>
      <c r="S17" t="str" s="275">
        <f>TEXT(E23,"$0.00")</f>
        <v>$25.81</v>
      </c>
    </row>
    <row r="18">
      <c r="B18" t="s" s="125">
        <v>609</v>
      </c>
      <c r="C18" s="162"/>
      <c r="D18" s="154"/>
      <c r="E18" s="154"/>
      <c r="F18" s="154"/>
      <c r="G18" s="269"/>
      <c r="H18" s="156"/>
      <c r="I18" s="134"/>
      <c r="J18" s="125"/>
      <c r="M18" t="s" s="275">
        <v>654</v>
      </c>
      <c r="N18" s="277">
        <f>D24</f>
        <v>17.45</v>
      </c>
      <c r="O18" s="277">
        <f>E24-D24</f>
        <v>11.75</v>
      </c>
      <c r="P18" s="277">
        <f>$D$27</f>
        <v>16.69</v>
      </c>
      <c r="Q18" s="277">
        <f>$D$28</f>
        <v>24.55</v>
      </c>
      <c r="R18" t="str" s="275">
        <f>TEXT(D24,"$0.00")</f>
        <v>$17.45</v>
      </c>
      <c r="S18" t="str" s="275">
        <f>TEXT(E24,"$0.00")</f>
        <v>$29.20</v>
      </c>
    </row>
    <row r="19">
      <c r="B19" t="s">
        <v>610</v>
      </c>
      <c r="C19" t="str" s="142">
        <f>"PJT, 52 weeks to unaffected date"</f>
        <v>PJT, 52 weeks to unaffected date</v>
      </c>
      <c r="D19" s="270">
        <f>'Banker ranges'!G27</f>
        <v>15.75</v>
      </c>
      <c r="E19" s="270">
        <f>'Banker ranges'!H27</f>
        <v>32.75</v>
      </c>
      <c r="F19" s="149">
        <f>AVERAGE(D19:E19)</f>
        <v>24.25</v>
      </c>
      <c r="G19" s="159">
        <f>$D$28/F19-1</f>
        <v>0.012371134020618513</v>
      </c>
      <c r="H19" s="151">
        <f>($D$28-D19)/(E19-D19)</f>
        <v>0.5176470588235295</v>
      </c>
      <c r="I19" s="146"/>
    </row>
    <row r="20">
      <c r="B20" t="s">
        <v>611</v>
      </c>
      <c r="C20" t="str" s="142">
        <f>"J.P. Morgan, 11 brokers"</f>
        <v>J.P. Morgan, 11 brokers</v>
      </c>
      <c r="D20" s="270">
        <f>'Banker ranges'!L26</f>
        <v>25</v>
      </c>
      <c r="E20" s="270">
        <f>'Banker ranges'!M26</f>
        <v>36</v>
      </c>
      <c r="F20" s="149">
        <f>AVERAGE(D20:E20)</f>
        <v>30.5</v>
      </c>
      <c r="G20" s="159">
        <f>$D$28/F20-1</f>
        <v>-0.19508196721311477</v>
      </c>
      <c r="H20" s="151">
        <f>($D$28-D20)/(E20-D20)</f>
        <v>-0.040909090909090846</v>
      </c>
      <c r="I20" s="146"/>
    </row>
    <row r="21">
      <c r="C21" s="142"/>
      <c r="D21" s="149"/>
      <c r="E21" s="149"/>
      <c r="F21" s="149"/>
      <c r="G21" s="159"/>
      <c r="H21" s="151"/>
      <c r="I21" s="146"/>
    </row>
    <row r="22">
      <c r="B22" t="s" s="125">
        <v>612</v>
      </c>
      <c r="C22" s="162"/>
      <c r="D22" s="154"/>
      <c r="E22" s="154"/>
      <c r="F22" s="154"/>
      <c r="G22" s="269"/>
      <c r="H22" s="156"/>
      <c r="I22" s="134"/>
      <c r="J22" s="125"/>
    </row>
    <row r="23">
      <c r="B23" t="s">
        <v>276</v>
      </c>
      <c r="C23" t="str" s="142">
        <f>"Average of DCF, comps and precedent ranges"</f>
        <v>Average of DCF, comps and precedent ranges</v>
      </c>
      <c r="D23" s="270">
        <f>'Banker ranges'!G30</f>
        <v>17.3125</v>
      </c>
      <c r="E23" s="270">
        <f>'Banker ranges'!H30</f>
        <v>25.8125</v>
      </c>
      <c r="F23" s="149">
        <f>AVERAGE(D23:E23)</f>
        <v>21.5625</v>
      </c>
      <c r="G23" s="159">
        <f>$D$28/F23-1</f>
        <v>0.13855072463768114</v>
      </c>
      <c r="H23" s="151">
        <f>($D$28-D23)/(E23-D23)</f>
        <v>0.8514705882352942</v>
      </c>
      <c r="I23" s="146"/>
    </row>
    <row r="24">
      <c r="B24" t="s">
        <v>188</v>
      </c>
      <c r="C24" t="str" s="142">
        <f>"Average of DCF, comps and precedent ranges"</f>
        <v>Average of DCF, comps and precedent ranges</v>
      </c>
      <c r="D24" s="270">
        <f>'Banker ranges'!L30</f>
        <v>17.45</v>
      </c>
      <c r="E24" s="270">
        <f>'Banker ranges'!M30</f>
        <v>29.2</v>
      </c>
      <c r="F24" s="149">
        <f>AVERAGE(D24:E24)</f>
        <v>23.325</v>
      </c>
      <c r="G24" s="159">
        <f>$D$28/F24-1</f>
        <v>0.052518756698821</v>
      </c>
      <c r="H24" s="151">
        <f>($D$28-D24)/(E24-D24)</f>
        <v>0.6042553191489363</v>
      </c>
      <c r="I24" s="146"/>
    </row>
    <row r="25">
      <c r="D25" s="146"/>
      <c r="E25" s="146"/>
      <c r="F25" s="146"/>
      <c r="G25" s="146"/>
      <c r="H25" s="146"/>
      <c r="I25" s="146"/>
    </row>
    <row r="26">
      <c r="B26" t="s" s="125">
        <v>267</v>
      </c>
      <c r="C26" s="125"/>
      <c r="D26" s="134"/>
      <c r="E26" s="134"/>
      <c r="F26" s="134"/>
      <c r="G26" s="134"/>
      <c r="H26" s="134"/>
      <c r="I26" s="134"/>
      <c r="J26" s="125"/>
    </row>
    <row r="27">
      <c r="B27" t="s">
        <v>268</v>
      </c>
      <c r="D27" s="270">
        <f>'Banker ranges'!D35</f>
        <v>16.69</v>
      </c>
      <c r="E27" s="146"/>
      <c r="F27" s="146"/>
      <c r="G27" s="146"/>
      <c r="H27" s="146"/>
      <c r="I27" s="146"/>
    </row>
    <row r="28">
      <c r="B28" t="s" s="23">
        <v>135</v>
      </c>
      <c r="C28" s="23"/>
      <c r="D28" s="273">
        <f>'Banker ranges'!D34</f>
        <v>24.55</v>
      </c>
      <c r="E28" s="146"/>
      <c r="F28" s="146"/>
      <c r="G28" s="146"/>
      <c r="H28" s="146"/>
      <c r="I28" s="146"/>
    </row>
    <row r="29">
      <c r="B29" t="s">
        <v>613</v>
      </c>
      <c r="D29" s="158">
        <f>D28/D27-1</f>
        <v>0.4709406830437386</v>
      </c>
      <c r="E29" s="146"/>
      <c r="F29" s="146"/>
      <c r="G29" s="146"/>
      <c r="H29" s="146"/>
      <c r="I29" s="146"/>
    </row>
    <row r="30">
      <c r="D30" s="146"/>
      <c r="E30" s="146"/>
      <c r="F30" s="146"/>
      <c r="G30" s="146"/>
      <c r="H30" s="146"/>
      <c r="I30" s="146"/>
    </row>
    <row r="31">
      <c r="B31" t="s" s="125">
        <v>614</v>
      </c>
      <c r="C31" s="125"/>
      <c r="D31" s="134"/>
      <c r="E31" s="134"/>
      <c r="F31" s="134"/>
      <c r="G31" s="134"/>
      <c r="H31" s="134"/>
      <c r="I31" s="134"/>
      <c r="J31" s="125"/>
    </row>
    <row r="32">
      <c r="B32" t="s">
        <v>666</v>
      </c>
      <c r="D32" s="176">
        <f>COUNTIF(G7:G16,"&gt;0")</f>
        <v>7</v>
      </c>
      <c r="E32" s="146"/>
      <c r="F32" s="146"/>
      <c r="G32" s="146"/>
      <c r="H32" s="146"/>
      <c r="I32" s="146"/>
    </row>
    <row r="33">
      <c r="B33" t="s">
        <v>667</v>
      </c>
      <c r="D33" s="176">
        <f>COUNTIF(H7:H16,"&gt;1")</f>
        <v>4</v>
      </c>
      <c r="E33" s="146"/>
      <c r="F33" s="146"/>
      <c r="G33" s="146"/>
      <c r="H33" s="146"/>
      <c r="I33" s="146"/>
    </row>
    <row r="34">
      <c r="B34" t="s">
        <v>617</v>
      </c>
      <c r="D34" s="149">
        <f>MEDIAN(F7:F11,F14:F16)</f>
        <v>22.450880184461017</v>
      </c>
      <c r="E34" s="146"/>
      <c r="F34" s="146"/>
      <c r="G34" s="146"/>
      <c r="H34" s="146"/>
      <c r="I34" s="146"/>
    </row>
    <row r="35">
      <c r="B35" t="s">
        <v>618</v>
      </c>
      <c r="D35" s="159">
        <f>D28/D34-1</f>
        <v>0.09349833050161904</v>
      </c>
      <c r="E35" s="146"/>
      <c r="F35" s="146"/>
      <c r="G35" s="146"/>
      <c r="H35" s="146"/>
      <c r="I35" s="14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5"/>
  <sheetViews>
    <sheetView showGridLines="0" workbookViewId="0">
      <pane ySplit="6" topLeftCell="A7" activePane="bottomLeft" state="frozen"/>
      <selection pane="bottomLeft" activeCell="A1" sqref="A1"/>
    </sheetView>
  </sheetViews>
  <cols>
    <col min="1" max="1" width="2.21875" customWidth="1"/>
    <col min="2" max="2" width="38.07421875" customWidth="1"/>
    <col min="3" max="3" width="25.64453125" customWidth="1"/>
    <col min="4" max="13" width="11.7890625" customWidth="1"/>
    <col min="14" max="16" width="13.64453125" customWidth="1"/>
    <col min="17" max="17" width="72.359375" customWidth="1"/>
  </cols>
  <sheetData>
    <row r="1" ht="8" customHeight="1"/>
    <row r="2">
      <c r="B2" t="s" s="141">
        <v>243</v>
      </c>
    </row>
    <row r="3">
      <c r="B3" t="s" s="142">
        <v>244</v>
      </c>
    </row>
    <row r="5">
      <c r="D5" t="s" s="7">
        <v>276</v>
      </c>
      <c r="E5" s="7"/>
      <c r="F5" s="7"/>
      <c r="G5" s="7"/>
      <c r="H5" s="7"/>
      <c r="I5" t="s" s="7">
        <v>188</v>
      </c>
      <c r="J5" s="7"/>
      <c r="K5" s="7"/>
      <c r="L5" s="7"/>
      <c r="M5" s="7"/>
      <c r="N5" t="s" s="7">
        <v>281</v>
      </c>
      <c r="O5" s="7"/>
      <c r="P5" s="7"/>
    </row>
    <row r="6" ht="28" customHeight="1">
      <c r="B6" t="s" s="144">
        <v>245</v>
      </c>
      <c r="C6" t="s" s="144">
        <v>226</v>
      </c>
      <c r="D6" t="s" s="143">
        <v>241</v>
      </c>
      <c r="E6" t="s" s="143">
        <v>277</v>
      </c>
      <c r="F6" t="s" s="143">
        <v>278</v>
      </c>
      <c r="G6" t="s" s="143">
        <v>279</v>
      </c>
      <c r="H6" t="s" s="143">
        <v>280</v>
      </c>
      <c r="I6" t="s" s="143">
        <v>241</v>
      </c>
      <c r="J6" t="s" s="143">
        <v>277</v>
      </c>
      <c r="K6" t="s" s="143">
        <v>278</v>
      </c>
      <c r="L6" t="s" s="143">
        <v>279</v>
      </c>
      <c r="M6" t="s" s="143">
        <v>280</v>
      </c>
      <c r="N6" t="s" s="143">
        <v>282</v>
      </c>
      <c r="O6" t="s" s="143">
        <v>283</v>
      </c>
      <c r="P6" t="s" s="143">
        <v>284</v>
      </c>
      <c r="Q6" t="s" s="144">
        <v>285</v>
      </c>
    </row>
    <row r="7">
      <c r="B7" t="s" s="125">
        <v>246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</row>
    <row r="8">
      <c r="B8" t="s">
        <v>247</v>
      </c>
      <c r="C8" t="s" s="160">
        <v>269</v>
      </c>
      <c r="D8" s="163">
        <v>940</v>
      </c>
      <c r="E8" s="164">
        <v>6</v>
      </c>
      <c r="F8" s="164">
        <v>9</v>
      </c>
      <c r="G8" s="165">
        <v>15.75</v>
      </c>
      <c r="H8" s="165">
        <v>24.75</v>
      </c>
      <c r="I8" s="163">
        <v>940</v>
      </c>
      <c r="J8" s="164">
        <v>6</v>
      </c>
      <c r="K8" s="164">
        <v>9.5</v>
      </c>
      <c r="L8" s="165">
        <v>15.75</v>
      </c>
      <c r="M8" s="165">
        <v>26.25</v>
      </c>
      <c r="N8" s="150">
        <f>IF(AND(COUNT(G8:H8)=2,COUNT(L8:M8)=2),AVERAGE(L8:M8)-AVERAGE(G8:H8),"–")</f>
        <v>0.75</v>
      </c>
      <c r="O8" s="151">
        <f>IF(COUNT(G8:H8)=2,($D$34-G8)/(H8-G8),"–")</f>
        <v>0.9777777777777779</v>
      </c>
      <c r="P8" s="151">
        <f>IF(COUNT(L8:M8)=2,($D$34-L8)/(M8-L8),"–")</f>
        <v>0.8380952380952381</v>
      </c>
      <c r="Q8" t="s" s="142">
        <v>286</v>
      </c>
    </row>
    <row r="9">
      <c r="B9" t="s">
        <v>248</v>
      </c>
      <c r="C9" t="s" s="160">
        <v>269</v>
      </c>
      <c r="D9" s="163">
        <v>338</v>
      </c>
      <c r="E9" s="164">
        <v>18</v>
      </c>
      <c r="F9" s="164">
        <v>25</v>
      </c>
      <c r="G9" s="165">
        <v>17</v>
      </c>
      <c r="H9" s="165">
        <v>24.75</v>
      </c>
      <c r="I9" s="147"/>
      <c r="J9" s="148"/>
      <c r="K9" s="148"/>
      <c r="L9" s="149"/>
      <c r="M9" s="149"/>
      <c r="N9" t="str" s="150">
        <f>IF(AND(COUNT(G9:H9)=2,COUNT(L9:M9)=2),AVERAGE(L9:M9)-AVERAGE(G9:H9),"–")</f>
        <v>–</v>
      </c>
      <c r="O9" s="151">
        <f>IF(COUNT(G9:H9)=2,($D$34-G9)/(H9-G9),"–")</f>
        <v>0.9741935483870968</v>
      </c>
      <c r="P9" t="str" s="151">
        <f>IF(COUNT(L9:M9)=2,($D$34-L9)/(M9-L9),"–")</f>
        <v>–</v>
      </c>
      <c r="Q9" t="s" s="142">
        <v>287</v>
      </c>
    </row>
    <row r="10">
      <c r="B10" t="s">
        <v>249</v>
      </c>
      <c r="C10" t="s" s="160">
        <v>269</v>
      </c>
      <c r="D10" s="147"/>
      <c r="E10" s="148"/>
      <c r="F10" s="148"/>
      <c r="G10" s="149"/>
      <c r="H10" s="149"/>
      <c r="I10" s="163">
        <v>300</v>
      </c>
      <c r="J10" s="164">
        <v>20</v>
      </c>
      <c r="K10" s="164">
        <v>35</v>
      </c>
      <c r="L10" s="165">
        <v>16.75</v>
      </c>
      <c r="M10" s="165">
        <v>31.25</v>
      </c>
      <c r="N10" t="str" s="150">
        <f>IF(AND(COUNT(G10:H10)=2,COUNT(L10:M10)=2),AVERAGE(L10:M10)-AVERAGE(G10:H10),"–")</f>
        <v>–</v>
      </c>
      <c r="O10" t="str" s="151">
        <f>IF(COUNT(G10:H10)=2,($D$34-G10)/(H10-G10),"–")</f>
        <v>–</v>
      </c>
      <c r="P10" s="151">
        <f>IF(COUNT(L10:M10)=2,($D$34-L10)/(M10-L10),"–")</f>
        <v>0.5379310344827587</v>
      </c>
      <c r="Q10" t="s" s="142">
        <v>288</v>
      </c>
    </row>
    <row r="11">
      <c r="C11" s="160"/>
      <c r="D11" s="147"/>
      <c r="E11" s="148"/>
      <c r="F11" s="148"/>
      <c r="G11" s="149"/>
      <c r="H11" s="149"/>
      <c r="I11" s="147"/>
      <c r="J11" s="148"/>
      <c r="K11" s="148"/>
      <c r="L11" s="149"/>
      <c r="M11" s="149"/>
      <c r="N11" s="150"/>
      <c r="O11" s="151"/>
      <c r="P11" s="151"/>
      <c r="Q11" s="142"/>
    </row>
    <row r="12">
      <c r="B12" t="s" s="125">
        <v>250</v>
      </c>
      <c r="C12" s="161"/>
      <c r="D12" s="152"/>
      <c r="E12" s="153"/>
      <c r="F12" s="153"/>
      <c r="G12" s="154"/>
      <c r="H12" s="154"/>
      <c r="I12" s="152"/>
      <c r="J12" s="153"/>
      <c r="K12" s="153"/>
      <c r="L12" s="154"/>
      <c r="M12" s="154"/>
      <c r="N12" s="155"/>
      <c r="O12" s="156"/>
      <c r="P12" s="156"/>
      <c r="Q12" s="162"/>
    </row>
    <row r="13">
      <c r="B13" t="s">
        <v>251</v>
      </c>
      <c r="C13" t="s" s="160">
        <v>269</v>
      </c>
      <c r="D13" s="163">
        <v>940</v>
      </c>
      <c r="E13" s="164">
        <v>6.5</v>
      </c>
      <c r="F13" s="164">
        <v>8.5</v>
      </c>
      <c r="G13" s="165">
        <v>17.25</v>
      </c>
      <c r="H13" s="165">
        <v>23.25</v>
      </c>
      <c r="I13" s="163">
        <v>940</v>
      </c>
      <c r="J13" s="164">
        <v>6</v>
      </c>
      <c r="K13" s="164">
        <v>8.5</v>
      </c>
      <c r="L13" s="165">
        <v>15.75</v>
      </c>
      <c r="M13" s="165">
        <v>23.25</v>
      </c>
      <c r="N13" s="150">
        <f>IF(AND(COUNT(G13:H13)=2,COUNT(L13:M13)=2),AVERAGE(L13:M13)-AVERAGE(G13:H13),"–")</f>
        <v>-0.75</v>
      </c>
      <c r="O13" s="151">
        <f>IF(COUNT(G13:H13)=2,($D$34-G13)/(H13-G13),"–")</f>
        <v>1.2166666666666668</v>
      </c>
      <c r="P13" s="151">
        <f>IF(COUNT(L13:M13)=2,($D$34-L13)/(M13-L13),"–")</f>
        <v>1.1733333333333333</v>
      </c>
      <c r="Q13" t="s" s="142">
        <v>289</v>
      </c>
    </row>
    <row r="14">
      <c r="B14" t="s">
        <v>252</v>
      </c>
      <c r="C14" t="s" s="160">
        <v>269</v>
      </c>
      <c r="D14" s="147"/>
      <c r="E14" s="148"/>
      <c r="F14" s="148"/>
      <c r="G14" s="149"/>
      <c r="H14" s="149"/>
      <c r="I14" s="163">
        <v>300</v>
      </c>
      <c r="J14" s="164">
        <v>22</v>
      </c>
      <c r="K14" s="164">
        <v>38</v>
      </c>
      <c r="L14" s="165">
        <v>18.75</v>
      </c>
      <c r="M14" s="165">
        <v>34</v>
      </c>
      <c r="N14" t="str" s="150">
        <f>IF(AND(COUNT(G14:H14)=2,COUNT(L14:M14)=2),AVERAGE(L14:M14)-AVERAGE(G14:H14),"–")</f>
        <v>–</v>
      </c>
      <c r="O14" t="str" s="151">
        <f>IF(COUNT(G14:H14)=2,($D$34-G14)/(H14-G14),"–")</f>
        <v>–</v>
      </c>
      <c r="P14" s="151">
        <f>IF(COUNT(L14:M14)=2,($D$34-L14)/(M14-L14),"–")</f>
        <v>0.38032786885245906</v>
      </c>
      <c r="Q14" t="s" s="142">
        <v>290</v>
      </c>
    </row>
    <row r="15">
      <c r="C15" s="160"/>
      <c r="D15" s="146"/>
      <c r="E15" s="146"/>
      <c r="F15" s="146"/>
      <c r="G15" s="149"/>
      <c r="H15" s="149"/>
      <c r="I15" s="146"/>
      <c r="J15" s="146"/>
      <c r="K15" s="146"/>
      <c r="L15" s="149"/>
      <c r="M15" s="149"/>
      <c r="N15" s="150"/>
      <c r="O15" s="151"/>
      <c r="P15" s="151"/>
      <c r="Q15" s="142"/>
    </row>
    <row r="16">
      <c r="B16" t="s" s="125">
        <v>253</v>
      </c>
      <c r="C16" s="161"/>
      <c r="D16" s="134"/>
      <c r="E16" s="134"/>
      <c r="F16" s="134"/>
      <c r="G16" s="154"/>
      <c r="H16" s="154"/>
      <c r="I16" s="134"/>
      <c r="J16" s="134"/>
      <c r="K16" s="134"/>
      <c r="L16" s="154"/>
      <c r="M16" s="154"/>
      <c r="N16" s="155"/>
      <c r="O16" s="156"/>
      <c r="P16" s="156"/>
      <c r="Q16" s="162"/>
    </row>
    <row r="17">
      <c r="B17" t="s">
        <v>254</v>
      </c>
      <c r="C17" t="s" s="160">
        <v>270</v>
      </c>
      <c r="D17" s="146"/>
      <c r="E17" s="166">
        <v>0.1</v>
      </c>
      <c r="F17" s="166">
        <v>0.11</v>
      </c>
      <c r="G17" s="165">
        <v>19.25</v>
      </c>
      <c r="H17" s="165">
        <v>30.5</v>
      </c>
      <c r="I17" s="146"/>
      <c r="J17" s="166">
        <v>0.0925</v>
      </c>
      <c r="K17" s="166">
        <v>0.1025</v>
      </c>
      <c r="L17" s="165">
        <v>20.25</v>
      </c>
      <c r="M17" s="165">
        <v>31.25</v>
      </c>
      <c r="N17" s="150">
        <f>IF(AND(COUNT(G17:H17)=2,COUNT(L17:M17)=2),AVERAGE(L17:M17)-AVERAGE(G17:H17),"–")</f>
        <v>0.875</v>
      </c>
      <c r="O17" s="151">
        <f>IF(COUNT(G17:H17)=2,($D$34-G17)/(H17-G17),"–")</f>
        <v>0.47111111111111115</v>
      </c>
      <c r="P17" s="151">
        <f>IF(COUNT(L17:M17)=2,($D$34-L17)/(M17-L17),"–")</f>
        <v>0.390909090909091</v>
      </c>
      <c r="Q17" t="s" s="142">
        <v>291</v>
      </c>
    </row>
    <row r="18">
      <c r="B18" t="s" s="168">
        <v>657</v>
      </c>
      <c r="C18" t="s" s="160">
        <v>271</v>
      </c>
      <c r="D18" s="146"/>
      <c r="E18" s="167">
        <v>0.055</v>
      </c>
      <c r="F18" s="167">
        <v>0.065</v>
      </c>
      <c r="G18" s="149"/>
      <c r="H18" s="149"/>
      <c r="I18" s="146"/>
      <c r="J18" s="167">
        <v>0.045</v>
      </c>
      <c r="K18" s="167">
        <v>0.055</v>
      </c>
      <c r="L18" s="149"/>
      <c r="M18" s="149"/>
      <c r="N18" s="150"/>
      <c r="O18" s="151"/>
      <c r="P18" s="151"/>
      <c r="Q18" t="s" s="142">
        <v>292</v>
      </c>
    </row>
    <row r="19">
      <c r="B19" t="s" s="168">
        <v>658</v>
      </c>
      <c r="C19" t="s" s="160">
        <v>272</v>
      </c>
      <c r="D19" s="163">
        <v>445</v>
      </c>
      <c r="E19" s="146"/>
      <c r="F19" s="146"/>
      <c r="G19" s="149"/>
      <c r="H19" s="149"/>
      <c r="I19" s="163">
        <v>499</v>
      </c>
      <c r="J19" s="146"/>
      <c r="K19" s="146"/>
      <c r="L19" s="149"/>
      <c r="M19" s="149"/>
      <c r="N19" s="150"/>
      <c r="O19" s="151"/>
      <c r="P19" s="151"/>
      <c r="Q19" t="s" s="142">
        <v>293</v>
      </c>
    </row>
    <row r="20">
      <c r="B20" t="s" s="168">
        <v>659</v>
      </c>
      <c r="C20" t="s" s="160">
        <v>272</v>
      </c>
      <c r="D20" s="146"/>
      <c r="E20" s="163">
        <v>439</v>
      </c>
      <c r="F20" s="163">
        <v>455</v>
      </c>
      <c r="G20" s="149"/>
      <c r="H20" s="149"/>
      <c r="I20" s="146"/>
      <c r="J20" s="163">
        <v>450</v>
      </c>
      <c r="K20" s="163">
        <v>467</v>
      </c>
      <c r="L20" s="149"/>
      <c r="M20" s="149"/>
      <c r="N20" s="150"/>
      <c r="O20" s="151"/>
      <c r="P20" s="151"/>
      <c r="Q20" t="s" s="142">
        <v>294</v>
      </c>
    </row>
    <row r="21">
      <c r="B21" t="s" s="168">
        <v>660</v>
      </c>
      <c r="C21" t="s" s="160">
        <v>273</v>
      </c>
      <c r="D21" s="165">
        <v>23.75</v>
      </c>
      <c r="E21" s="146"/>
      <c r="F21" s="146"/>
      <c r="G21" s="149"/>
      <c r="H21" s="149"/>
      <c r="I21" s="165">
        <v>24.54</v>
      </c>
      <c r="J21" s="146"/>
      <c r="K21" s="146"/>
      <c r="L21" s="149"/>
      <c r="M21" s="149"/>
      <c r="N21" s="150">
        <f>I21-D21</f>
        <v>0.7899999999999991</v>
      </c>
      <c r="O21" s="151"/>
      <c r="P21" s="151"/>
      <c r="Q21" t="s" s="142">
        <v>295</v>
      </c>
    </row>
    <row r="22">
      <c r="C22" s="160"/>
      <c r="D22" s="146"/>
      <c r="E22" s="146"/>
      <c r="F22" s="146"/>
      <c r="G22" s="149"/>
      <c r="H22" s="149"/>
      <c r="I22" s="146"/>
      <c r="J22" s="146"/>
      <c r="K22" s="146"/>
      <c r="L22" s="149"/>
      <c r="M22" s="149"/>
      <c r="N22" s="150"/>
      <c r="O22" s="151"/>
      <c r="P22" s="151"/>
      <c r="Q22" s="142"/>
    </row>
    <row r="23">
      <c r="B23" t="s" s="125">
        <v>259</v>
      </c>
      <c r="C23" s="161"/>
      <c r="D23" s="134"/>
      <c r="E23" s="134"/>
      <c r="F23" s="134"/>
      <c r="G23" s="154"/>
      <c r="H23" s="154"/>
      <c r="I23" s="134"/>
      <c r="J23" s="134"/>
      <c r="K23" s="134"/>
      <c r="L23" s="154"/>
      <c r="M23" s="154"/>
      <c r="N23" s="155"/>
      <c r="O23" s="156"/>
      <c r="P23" s="156"/>
      <c r="Q23" s="162"/>
    </row>
    <row r="24">
      <c r="B24" t="s">
        <v>260</v>
      </c>
      <c r="C24" t="s" s="160">
        <v>274</v>
      </c>
      <c r="D24" s="146"/>
      <c r="E24" s="164">
        <v>22</v>
      </c>
      <c r="F24" s="164">
        <v>30</v>
      </c>
      <c r="G24" s="165">
        <v>22</v>
      </c>
      <c r="H24" s="165">
        <v>28.75</v>
      </c>
      <c r="I24" s="146"/>
      <c r="J24" s="146"/>
      <c r="K24" s="146"/>
      <c r="L24" s="149"/>
      <c r="M24" s="149"/>
      <c r="N24" t="str" s="150">
        <f>IF(AND(COUNT(G24:H24)=2,COUNT(L24:M24)=2),AVERAGE(L24:M24)-AVERAGE(G24:H24),"–")</f>
        <v>–</v>
      </c>
      <c r="O24" s="151">
        <f>IF(COUNT(G24:H24)=2,($D$34-G24)/(H24-G24),"–")</f>
        <v>0.3777777777777779</v>
      </c>
      <c r="P24" t="str" s="151">
        <f>IF(COUNT(L24:M24)=2,($D$34-L24)/(M24-L24),"–")</f>
        <v>–</v>
      </c>
      <c r="Q24" t="s" s="142">
        <v>296</v>
      </c>
    </row>
    <row r="25">
      <c r="B25" t="s">
        <v>261</v>
      </c>
      <c r="C25" t="s" s="160">
        <v>275</v>
      </c>
      <c r="D25" s="146"/>
      <c r="E25" s="164">
        <v>18</v>
      </c>
      <c r="F25" s="164">
        <v>25</v>
      </c>
      <c r="G25" s="165">
        <v>23</v>
      </c>
      <c r="H25" s="165">
        <v>32.25</v>
      </c>
      <c r="I25" s="146"/>
      <c r="J25" s="146"/>
      <c r="K25" s="146"/>
      <c r="L25" s="149"/>
      <c r="M25" s="149"/>
      <c r="N25" t="str" s="150">
        <f>IF(AND(COUNT(G25:H25)=2,COUNT(L25:M25)=2),AVERAGE(L25:M25)-AVERAGE(G25:H25),"–")</f>
        <v>–</v>
      </c>
      <c r="O25" s="151">
        <f>IF(COUNT(G25:H25)=2,($D$34-G25)/(H25-G25),"–")</f>
        <v>0.16756756756756763</v>
      </c>
      <c r="P25" t="str" s="151">
        <f>IF(COUNT(L25:M25)=2,($D$34-L25)/(M25-L25),"–")</f>
        <v>–</v>
      </c>
      <c r="Q25" t="s" s="142">
        <v>297</v>
      </c>
    </row>
    <row r="26">
      <c r="B26" t="s">
        <v>262</v>
      </c>
      <c r="C26" t="s" s="160">
        <v>273</v>
      </c>
      <c r="D26" s="146"/>
      <c r="E26" s="146"/>
      <c r="F26" s="146"/>
      <c r="G26" s="165">
        <v>22.5</v>
      </c>
      <c r="H26" s="165">
        <v>32.25</v>
      </c>
      <c r="I26" s="146"/>
      <c r="J26" s="146"/>
      <c r="K26" s="146"/>
      <c r="L26" s="165">
        <v>25</v>
      </c>
      <c r="M26" s="165">
        <v>36</v>
      </c>
      <c r="N26" s="150">
        <f>IF(AND(COUNT(G26:H26)=2,COUNT(L26:M26)=2),AVERAGE(L26:M26)-AVERAGE(G26:H26),"–")</f>
        <v>3.125</v>
      </c>
      <c r="O26" s="151">
        <f>IF(COUNT(G26:H26)=2,($D$34-G26)/(H26-G26),"–")</f>
        <v>0.21025641025641034</v>
      </c>
      <c r="P26" s="151">
        <f>IF(COUNT(L26:M26)=2,($D$34-L26)/(M26-L26),"–")</f>
        <v>-0.040909090909090846</v>
      </c>
      <c r="Q26" t="s" s="142">
        <v>298</v>
      </c>
    </row>
    <row r="27">
      <c r="B27" t="s">
        <v>263</v>
      </c>
      <c r="C27" t="s" s="160">
        <v>273</v>
      </c>
      <c r="D27" s="146"/>
      <c r="E27" s="146"/>
      <c r="F27" s="146"/>
      <c r="G27" s="165">
        <v>15.75</v>
      </c>
      <c r="H27" s="165">
        <v>32.75</v>
      </c>
      <c r="I27" s="146"/>
      <c r="J27" s="146"/>
      <c r="K27" s="146"/>
      <c r="L27" s="165">
        <v>15.74</v>
      </c>
      <c r="M27" s="165">
        <v>32</v>
      </c>
      <c r="N27" s="150">
        <f>IF(AND(COUNT(G27:H27)=2,COUNT(L27:M27)=2),AVERAGE(L27:M27)-AVERAGE(G27:H27),"–")</f>
        <v>-0.379999999999999</v>
      </c>
      <c r="O27" s="151">
        <f>IF(COUNT(G27:H27)=2,($D$34-G27)/(H27-G27),"–")</f>
        <v>0.5176470588235295</v>
      </c>
      <c r="P27" s="151">
        <f>IF(COUNT(L27:M27)=2,($D$34-L27)/(M27-L27),"–")</f>
        <v>0.5418204182041821</v>
      </c>
      <c r="Q27" t="s" s="142">
        <v>299</v>
      </c>
    </row>
    <row r="28">
      <c r="C28" s="146"/>
      <c r="D28" s="146"/>
      <c r="E28" s="146"/>
      <c r="F28" s="146"/>
      <c r="G28" s="149"/>
      <c r="H28" s="149"/>
      <c r="I28" s="146"/>
      <c r="J28" s="146"/>
      <c r="K28" s="146"/>
      <c r="L28" s="149"/>
      <c r="M28" s="149"/>
      <c r="N28" s="146"/>
      <c r="O28" s="151"/>
      <c r="P28" s="151"/>
      <c r="Q28" s="142"/>
    </row>
    <row r="29">
      <c r="B29" t="s" s="125">
        <v>264</v>
      </c>
      <c r="C29" s="134"/>
      <c r="D29" s="134"/>
      <c r="E29" s="134"/>
      <c r="F29" s="134"/>
      <c r="G29" s="154"/>
      <c r="H29" s="154"/>
      <c r="I29" s="134"/>
      <c r="J29" s="134"/>
      <c r="K29" s="134"/>
      <c r="L29" s="154"/>
      <c r="M29" s="154"/>
      <c r="N29" s="134"/>
      <c r="O29" s="156"/>
      <c r="P29" s="156"/>
      <c r="Q29" s="162"/>
    </row>
    <row r="30">
      <c r="B30" t="s">
        <v>265</v>
      </c>
      <c r="C30" s="146"/>
      <c r="D30" s="146"/>
      <c r="E30" s="146"/>
      <c r="F30" s="146"/>
      <c r="G30" s="149">
        <f>AVERAGE(G8,G9,G13,G17)</f>
        <v>17.3125</v>
      </c>
      <c r="H30" s="149">
        <f>AVERAGE(H8,H9,H13,H17)</f>
        <v>25.8125</v>
      </c>
      <c r="I30" s="146"/>
      <c r="J30" s="146"/>
      <c r="K30" s="146"/>
      <c r="L30" s="149">
        <f>AVERAGE(L8,L10,L13,L14,L17)</f>
        <v>17.45</v>
      </c>
      <c r="M30" s="149">
        <f>AVERAGE(M8,M10,M13,M14,M17)</f>
        <v>29.2</v>
      </c>
      <c r="N30" s="146"/>
      <c r="O30" s="151">
        <f>($D$34-G30)/(H30-G30)</f>
        <v>0.8514705882352942</v>
      </c>
      <c r="P30" s="151">
        <f>($D$34-L30)/(M30-L30)</f>
        <v>0.6042553191489363</v>
      </c>
      <c r="Q30" s="142"/>
    </row>
    <row r="31">
      <c r="B31" t="s">
        <v>266</v>
      </c>
      <c r="C31" s="146"/>
      <c r="D31" s="146"/>
      <c r="E31" s="146"/>
      <c r="F31" s="146"/>
      <c r="G31" s="159">
        <f>$D$34/AVERAGE(G30:H30)-1</f>
        <v>0.13855072463768114</v>
      </c>
      <c r="H31" s="146"/>
      <c r="I31" s="146"/>
      <c r="J31" s="146"/>
      <c r="K31" s="146"/>
      <c r="L31" s="159">
        <f>$D$34/AVERAGE(L30:M30)-1</f>
        <v>0.052518756698821</v>
      </c>
      <c r="M31" s="146"/>
      <c r="N31" s="146"/>
      <c r="O31" s="146"/>
      <c r="P31" s="146"/>
      <c r="Q31" s="142"/>
    </row>
    <row r="32"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</row>
    <row r="33">
      <c r="B33" t="s" s="125">
        <v>267</v>
      </c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25"/>
    </row>
    <row r="34">
      <c r="B34" t="s">
        <v>135</v>
      </c>
      <c r="C34" s="146"/>
      <c r="D34" s="165">
        <v>24.55</v>
      </c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</row>
    <row r="35">
      <c r="B35" t="s">
        <v>268</v>
      </c>
      <c r="C35" s="146"/>
      <c r="D35" s="165">
        <v>16.69</v>
      </c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T102"/>
  <sheetViews>
    <sheetView showGridLines="0" workbookViewId="0">
      <pane ySplit="6" topLeftCell="A7" activePane="bottomLeft" state="frozen"/>
      <selection pane="bottomLeft" activeCell="A1" sqref="A1"/>
    </sheetView>
  </sheetViews>
  <cols>
    <col min="1" max="1" width="2.21875" customWidth="1"/>
    <col min="2" max="2" width="43.7890625" customWidth="1"/>
    <col min="3" max="3" width="17.07421875" customWidth="1"/>
    <col min="4" max="13" width="12.07421875" customWidth="1"/>
    <col min="14" max="14" width="17.50390625" customWidth="1"/>
    <col min="15" max="15" width="62.7890625" customWidth="1"/>
    <col min="16" max="20" width="9" customWidth="1"/>
    <col min="21" max="21" width="2.21875" customWidth="1" hidden="1"/>
    <col min="22" max="22" width="30" customWidth="1" hidden="1"/>
    <col min="23" max="23" width="8.7109375" customWidth="1" hidden="1"/>
    <col min="24" max="24" width="11.7109375" customWidth="1" hidden="1"/>
    <col min="25" max="25" width="8" customWidth="1" hidden="1"/>
    <col min="26" max="26" width="11.42578125" customWidth="1" hidden="1"/>
    <col min="27" max="27" width="10.5703125" customWidth="1" hidden="1"/>
    <col min="28" max="28" width="8.5703125" customWidth="1" hidden="1"/>
    <col min="29" max="29" width="11" customWidth="1" hidden="1"/>
    <col min="30" max="30" width="10.140625" customWidth="1" hidden="1"/>
    <col min="31" max="31" width="17.7109375" customWidth="1" hidden="1"/>
    <col min="32" max="32" width="15.42578125" customWidth="1" hidden="1"/>
    <col min="33" max="33" width="8.7109375" customWidth="1" hidden="1"/>
    <col min="34" max="34" width="8" customWidth="1" hidden="1"/>
    <col min="35" max="35" width="8.85546875" customWidth="1" hidden="1"/>
    <col min="36" max="36" width="8.140625" customWidth="1" hidden="1"/>
    <col min="37" max="37" width="9" customWidth="1" hidden="1"/>
    <col min="38" max="39" width="8" customWidth="1" hidden="1"/>
    <col min="40" max="40" width="14.7109375" customWidth="1" hidden="1"/>
    <col min="41" max="41" width="15.7109375" customWidth="1" hidden="1"/>
    <col min="42" max="42" width="10.140625" customWidth="1" hidden="1"/>
    <col min="43" max="43" width="11.7109375" customWidth="1" hidden="1"/>
    <col min="44" max="44" width="13.140625" customWidth="1" hidden="1"/>
    <col min="45" max="45" width="8" customWidth="1" hidden="1"/>
    <col min="46" max="46" width="12.28515625" customWidth="1" hidden="1"/>
    <col min="47" max="47" width="8" customWidth="1" hidden="1"/>
    <col min="48" max="49" width="2" customWidth="1" hidden="1"/>
    <col min="50" max="50" width="9.28515625" customWidth="1" hidden="1"/>
    <col min="51" max="51" width="9.85546875" customWidth="1" hidden="1"/>
    <col min="52" max="52" width="11.7109375" customWidth="1" hidden="1"/>
    <col min="53" max="53" width="11.28515625" customWidth="1" hidden="1"/>
    <col min="54" max="54" width="10.140625" customWidth="1" hidden="1"/>
    <col min="55" max="55" width="9.140625" customWidth="1" hidden="1"/>
    <col min="56" max="60" width="8" customWidth="1" hidden="1"/>
    <col min="61" max="61" width="14.140625" customWidth="1" hidden="1"/>
    <col min="62" max="62" width="14.5703125" customWidth="1" hidden="1"/>
    <col min="63" max="63" width="8" customWidth="1" hidden="1"/>
    <col min="64" max="64" width="11.140625" customWidth="1" hidden="1"/>
    <col min="65" max="65" width="14.42578125" customWidth="1" hidden="1"/>
    <col min="66" max="66" width="15.140625" customWidth="1" hidden="1"/>
    <col min="67" max="68" width="8.28515625" customWidth="1" hidden="1"/>
    <col min="69" max="69" width="8.140625" customWidth="1" hidden="1"/>
    <col min="70" max="70" width="13" customWidth="1" hidden="1"/>
    <col min="71" max="71" width="8" customWidth="1" hidden="1"/>
  </cols>
  <sheetData>
    <row r="2">
      <c r="B2" t="s" s="141">
        <v>166</v>
      </c>
      <c r="V2" t="s" s="1">
        <v>159</v>
      </c>
    </row>
    <row r="3">
      <c r="B3" t="s" s="142">
        <v>167</v>
      </c>
      <c r="V3" t="s" s="4">
        <v>160</v>
      </c>
    </row>
    <row r="5">
      <c r="D5" t="s" s="7">
        <v>189</v>
      </c>
      <c r="E5" s="7"/>
      <c r="F5" s="7"/>
      <c r="G5" t="s" s="7">
        <v>192</v>
      </c>
      <c r="H5" s="7"/>
      <c r="I5" s="7"/>
      <c r="J5" t="s" s="7">
        <v>196</v>
      </c>
      <c r="K5" s="7"/>
      <c r="L5" t="s" s="7">
        <v>198</v>
      </c>
      <c r="M5" s="7"/>
      <c r="N5" s="7"/>
      <c r="Z5" t="s" s="7">
        <v>163</v>
      </c>
      <c r="AA5" s="7"/>
      <c r="AB5" s="7"/>
      <c r="AC5" s="7"/>
      <c r="AD5" s="7"/>
      <c r="AE5" t="s" s="7">
        <v>7</v>
      </c>
      <c r="AF5" s="7"/>
      <c r="AG5" s="7"/>
      <c r="AH5" s="7"/>
      <c r="AI5" s="7"/>
      <c r="AJ5" s="7"/>
      <c r="AK5" t="s" s="7">
        <v>8</v>
      </c>
      <c r="AL5" s="7"/>
      <c r="AM5" s="7"/>
      <c r="AN5" s="7"/>
      <c r="AO5" t="s" s="7">
        <v>9</v>
      </c>
      <c r="AP5" s="7"/>
      <c r="AQ5" s="7"/>
      <c r="AR5" t="s" s="7">
        <v>4</v>
      </c>
      <c r="AS5" s="7"/>
      <c r="AT5" t="s" s="7">
        <v>5</v>
      </c>
      <c r="AU5" s="7"/>
      <c r="AX5" t="s" s="5">
        <v>10</v>
      </c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ht="28" customHeight="1">
      <c r="B6" t="s" s="144">
        <v>11</v>
      </c>
      <c r="C6" t="s" s="144">
        <v>184</v>
      </c>
      <c r="D6" t="s" s="143">
        <v>24</v>
      </c>
      <c r="E6" t="s" s="143">
        <v>190</v>
      </c>
      <c r="F6" t="s" s="143">
        <v>191</v>
      </c>
      <c r="G6" t="s" s="143">
        <v>193</v>
      </c>
      <c r="H6" t="s" s="143">
        <v>194</v>
      </c>
      <c r="I6" t="s" s="143">
        <v>195</v>
      </c>
      <c r="J6" t="s" s="143">
        <v>8</v>
      </c>
      <c r="K6" t="s" s="143">
        <v>197</v>
      </c>
      <c r="L6" t="s" s="143">
        <v>199</v>
      </c>
      <c r="M6" t="s" s="143">
        <v>200</v>
      </c>
      <c r="N6" t="s" s="143">
        <v>201</v>
      </c>
      <c r="O6" t="s" s="144">
        <v>203</v>
      </c>
      <c r="V6" t="s" s="10">
        <v>11</v>
      </c>
      <c r="W6" t="s" s="11">
        <v>19</v>
      </c>
      <c r="X6" t="s" s="11">
        <v>20</v>
      </c>
      <c r="Y6" t="s" s="11">
        <v>21</v>
      </c>
      <c r="Z6" t="s" s="11">
        <v>22</v>
      </c>
      <c r="AA6" t="s" s="11">
        <v>23</v>
      </c>
      <c r="AB6" t="s" s="11">
        <v>24</v>
      </c>
      <c r="AC6" t="s" s="11">
        <v>25</v>
      </c>
      <c r="AD6" t="s" s="11">
        <v>26</v>
      </c>
      <c r="AE6" t="s" s="11">
        <v>27</v>
      </c>
      <c r="AF6" t="s" s="11">
        <v>28</v>
      </c>
      <c r="AG6" t="s" s="11">
        <v>29</v>
      </c>
      <c r="AH6" t="s" s="11">
        <v>14</v>
      </c>
      <c r="AI6" t="s" s="11">
        <v>164</v>
      </c>
      <c r="AJ6" t="s" s="11">
        <v>165</v>
      </c>
      <c r="AK6" t="s" s="11">
        <v>32</v>
      </c>
      <c r="AL6" t="s" s="11">
        <v>17</v>
      </c>
      <c r="AM6" t="s" s="11">
        <v>18</v>
      </c>
      <c r="AN6" t="s" s="11">
        <v>33</v>
      </c>
      <c r="AO6" t="s" s="11">
        <v>34</v>
      </c>
      <c r="AP6" t="s" s="11">
        <v>35</v>
      </c>
      <c r="AQ6" t="s" s="11">
        <v>36</v>
      </c>
      <c r="AR6" t="s" s="11">
        <v>17</v>
      </c>
      <c r="AS6" t="s" s="11">
        <v>18</v>
      </c>
      <c r="AT6" t="s" s="11">
        <v>17</v>
      </c>
      <c r="AU6" t="s" s="11">
        <v>18</v>
      </c>
      <c r="AV6" s="11"/>
      <c r="AW6" s="11"/>
      <c r="AX6" t="s" s="6">
        <v>37</v>
      </c>
      <c r="AY6" t="s" s="6">
        <v>38</v>
      </c>
      <c r="AZ6" t="s" s="6">
        <v>39</v>
      </c>
      <c r="BA6" t="s" s="6">
        <v>40</v>
      </c>
      <c r="BB6" t="s" s="6">
        <v>41</v>
      </c>
      <c r="BC6" t="s" s="6">
        <v>42</v>
      </c>
      <c r="BD6" t="s" s="6">
        <v>43</v>
      </c>
      <c r="BE6" t="s" s="6">
        <v>44</v>
      </c>
      <c r="BF6" t="s" s="6">
        <v>45</v>
      </c>
      <c r="BG6" t="s" s="6">
        <v>46</v>
      </c>
      <c r="BH6" t="s" s="6">
        <v>47</v>
      </c>
      <c r="BI6" t="s" s="6">
        <v>48</v>
      </c>
      <c r="BJ6" t="s" s="6">
        <v>49</v>
      </c>
      <c r="BK6" t="s" s="6">
        <v>50</v>
      </c>
      <c r="BL6" t="s" s="6">
        <v>51</v>
      </c>
      <c r="BM6" t="s" s="6">
        <v>52</v>
      </c>
      <c r="BN6" t="s" s="6">
        <v>53</v>
      </c>
      <c r="BO6" t="s" s="6">
        <v>54</v>
      </c>
      <c r="BP6" t="s" s="6">
        <v>55</v>
      </c>
      <c r="BQ6" t="s" s="6">
        <v>56</v>
      </c>
      <c r="BR6" t="s" s="6">
        <v>57</v>
      </c>
      <c r="BS6" t="s" s="6">
        <v>58</v>
      </c>
      <c r="BT6" t="s">
        <v>224</v>
      </c>
    </row>
    <row r="7">
      <c r="B7" t="s" s="60">
        <v>114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</row>
    <row r="8">
      <c r="B8" t="s">
        <v>168</v>
      </c>
      <c r="C8" t="s" s="160">
        <v>185</v>
      </c>
      <c r="D8" s="149">
        <f>AB8</f>
        <v>16.69</v>
      </c>
      <c r="E8" s="169">
        <f>AD8</f>
        <v>0.509618320610687</v>
      </c>
      <c r="F8" s="147">
        <f>AH8</f>
        <v>5970.832014590001</v>
      </c>
      <c r="G8" s="159">
        <f>$D$57</f>
        <v>0.153</v>
      </c>
      <c r="H8" s="159">
        <f>$D$58</f>
        <v>0.3595744680851064</v>
      </c>
      <c r="I8" s="159">
        <f>G8+H8</f>
        <v>0.5125744680851064</v>
      </c>
      <c r="J8" s="148">
        <f>AH8/$X$77</f>
        <v>6.35194895169149</v>
      </c>
      <c r="K8" s="148">
        <f>AH8/$X$78</f>
        <v>17.665183475118344</v>
      </c>
      <c r="L8" s="159"/>
      <c r="M8" s="159"/>
      <c r="N8" t="s" s="51">
        <v>202</v>
      </c>
      <c r="O8" t="s" s="142">
        <v>204</v>
      </c>
      <c r="V8" t="s" s="23">
        <v>60</v>
      </c>
      <c r="W8" t="s" s="24">
        <v>61</v>
      </c>
      <c r="X8" s="24"/>
      <c r="Y8" s="24"/>
      <c r="Z8" s="25"/>
      <c r="AA8" s="26"/>
      <c r="AB8" s="27">
        <f>$X$57</f>
        <v>16.69</v>
      </c>
      <c r="AC8" s="27">
        <f>$X$59</f>
        <v>32.75</v>
      </c>
      <c r="AD8" s="28">
        <f>AB8/AC8</f>
        <v>0.509618320610687</v>
      </c>
      <c r="AE8" s="29">
        <f>($X$60+$X$61+$X$62+$X$63)/10^6+$X$64/10^6*MAX(0,1-$X$65/AB8)+$X$66/AB8</f>
        <v>310.12774203654885</v>
      </c>
      <c r="AF8" s="31">
        <f>AB8*AE8</f>
        <v>5176.0320145900005</v>
      </c>
      <c r="AG8" s="31">
        <f>$X$67-$X$68-$X$69</f>
        <v>794.8000000000001</v>
      </c>
      <c r="AH8" s="31">
        <f>AF8+AG8</f>
        <v>5970.832014590001</v>
      </c>
      <c r="AI8" s="33">
        <v>5968</v>
      </c>
      <c r="AJ8" s="34">
        <f>AH8/AI8-1</f>
        <v>0.00047453327580448956</v>
      </c>
      <c r="AK8" s="31">
        <f>$X$70</f>
        <v>451.803</v>
      </c>
      <c r="AL8" s="35">
        <f>$X$71</f>
        <v>731</v>
      </c>
      <c r="AM8" s="35">
        <f>$X$73</f>
        <v>947</v>
      </c>
      <c r="AN8" s="35">
        <f>$X$74</f>
        <v>333</v>
      </c>
      <c r="AO8" s="36">
        <f>AL8/AK8-1</f>
        <v>0.6179618107892157</v>
      </c>
      <c r="AP8" s="36">
        <f>AM8/AL8-1</f>
        <v>0.2954856361149112</v>
      </c>
      <c r="AQ8" s="36">
        <f>AN8/AM8</f>
        <v>0.35163674762407604</v>
      </c>
      <c r="AR8" s="37">
        <f>AH8/AL8</f>
        <v>8.168032851696307</v>
      </c>
      <c r="AS8" s="37">
        <f>AH8/AM8</f>
        <v>6.304996847507921</v>
      </c>
      <c r="AT8" s="37">
        <f>AH8/$X$72</f>
        <v>24.17340896595142</v>
      </c>
      <c r="AU8" s="37">
        <f>AH8/AN8</f>
        <v>17.930426470240242</v>
      </c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11">
        <v>0.16</v>
      </c>
    </row>
    <row r="9">
      <c r="B9" t="s">
        <v>169</v>
      </c>
      <c r="C9" t="s" s="160">
        <v>185</v>
      </c>
      <c r="D9" s="149">
        <f>AB9</f>
        <v>24.55</v>
      </c>
      <c r="E9" s="169">
        <f>AD9</f>
        <v>0.749618320610687</v>
      </c>
      <c r="F9" s="147">
        <f>AH9</f>
        <v>8433.06593477</v>
      </c>
      <c r="G9" s="159">
        <f>$D$57</f>
        <v>0.153</v>
      </c>
      <c r="H9" s="159">
        <f>$D$58</f>
        <v>0.3595744680851064</v>
      </c>
      <c r="I9" s="159">
        <f>G9+H9</f>
        <v>0.5125744680851064</v>
      </c>
      <c r="J9" s="148">
        <f>AH9/$X$77</f>
        <v>8.971346739117022</v>
      </c>
      <c r="K9" s="148">
        <f>AH9/$X$78</f>
        <v>24.949899215295858</v>
      </c>
      <c r="L9" s="159"/>
      <c r="M9" s="159"/>
      <c r="N9" t="s" s="51">
        <v>202</v>
      </c>
      <c r="O9" t="s" s="142">
        <v>205</v>
      </c>
      <c r="V9" t="s" s="38">
        <v>62</v>
      </c>
      <c r="W9" t="s" s="39">
        <v>61</v>
      </c>
      <c r="X9" s="39"/>
      <c r="Y9" s="39"/>
      <c r="Z9" s="40"/>
      <c r="AA9" s="41"/>
      <c r="AB9" s="42">
        <f>$X$58</f>
        <v>24.55</v>
      </c>
      <c r="AC9" s="42">
        <f>$X$59</f>
        <v>32.75</v>
      </c>
      <c r="AD9" s="43">
        <f>AB9/AC9</f>
        <v>0.749618320610687</v>
      </c>
      <c r="AE9" s="44">
        <f>($X$60+$X$61+$X$62+$X$63)/10^6+$X$64/10^6*MAX(0,1-$X$65/AB9)+$X$66/AB9</f>
        <v>311.13099530631365</v>
      </c>
      <c r="AF9" s="45">
        <f>AB9*AE9</f>
        <v>7638.26593477</v>
      </c>
      <c r="AG9" s="45">
        <f>$X$67-$X$68-$X$69</f>
        <v>794.8000000000001</v>
      </c>
      <c r="AH9" s="45">
        <f>AF9+AG9</f>
        <v>8433.06593477</v>
      </c>
      <c r="AI9" s="46">
        <v>8433</v>
      </c>
      <c r="AJ9" s="47">
        <f>AH9/AI9-1</f>
        <v>0.000007818661212022349</v>
      </c>
      <c r="AK9" s="45">
        <f>$X$70</f>
        <v>451.803</v>
      </c>
      <c r="AL9" s="48">
        <f>$X$71</f>
        <v>731</v>
      </c>
      <c r="AM9" s="48">
        <f>$X$73</f>
        <v>947</v>
      </c>
      <c r="AN9" s="48">
        <f>$X$74</f>
        <v>333</v>
      </c>
      <c r="AO9" s="49">
        <f>AL9/AK9-1</f>
        <v>0.6179618107892157</v>
      </c>
      <c r="AP9" s="49">
        <f>AM9/AL9-1</f>
        <v>0.2954856361149112</v>
      </c>
      <c r="AQ9" s="49">
        <f>AN9/AM9</f>
        <v>0.35163674762407604</v>
      </c>
      <c r="AR9" s="50">
        <f>AH9/AL9</f>
        <v>11.536341908030096</v>
      </c>
      <c r="AS9" s="50">
        <f>AH9/AM9</f>
        <v>8.905032666071806</v>
      </c>
      <c r="AT9" s="50">
        <f>AH9/$X$72</f>
        <v>34.14196734724696</v>
      </c>
      <c r="AU9" s="50">
        <f>AH9/AN9</f>
        <v>25.324522326636636</v>
      </c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11">
        <v>0.16</v>
      </c>
    </row>
    <row r="10">
      <c r="C10" s="160"/>
      <c r="D10" s="149"/>
      <c r="E10" s="169"/>
      <c r="F10" s="147"/>
      <c r="G10" s="159"/>
      <c r="H10" s="159"/>
      <c r="I10" s="159"/>
      <c r="J10" s="148"/>
      <c r="K10" s="148"/>
      <c r="L10" s="159"/>
      <c r="M10" s="159"/>
      <c r="N10" s="51"/>
      <c r="O10" s="142"/>
      <c r="W10" s="51"/>
      <c r="X10" s="51"/>
      <c r="Y10" s="51"/>
      <c r="Z10" s="52"/>
      <c r="AA10" s="53"/>
      <c r="AB10" s="30"/>
      <c r="AC10" s="30"/>
      <c r="AD10" s="54"/>
      <c r="AE10" s="55"/>
      <c r="AF10" s="32"/>
      <c r="AG10" s="32"/>
      <c r="AH10" s="32"/>
      <c r="AI10" s="32"/>
      <c r="AJ10" s="56"/>
      <c r="AK10" s="32"/>
      <c r="AL10" s="57"/>
      <c r="AM10" s="57"/>
      <c r="AN10" s="57"/>
      <c r="AO10" s="58"/>
      <c r="AP10" s="58"/>
      <c r="AQ10" s="58"/>
      <c r="AR10" s="59"/>
      <c r="AS10" s="59"/>
      <c r="AT10" s="59"/>
      <c r="AU10" s="59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11"/>
    </row>
    <row r="11">
      <c r="B11" t="s" s="60">
        <v>59</v>
      </c>
      <c r="C11" s="178"/>
      <c r="D11" s="171"/>
      <c r="E11" s="172"/>
      <c r="F11" s="173"/>
      <c r="G11" s="174"/>
      <c r="H11" s="174"/>
      <c r="I11" s="174"/>
      <c r="J11" s="175"/>
      <c r="K11" s="175"/>
      <c r="L11" s="174"/>
      <c r="M11" s="174"/>
      <c r="N11" s="61"/>
      <c r="O11" s="179"/>
      <c r="V11" t="s" s="60">
        <v>63</v>
      </c>
      <c r="W11" s="61"/>
      <c r="X11" s="61"/>
      <c r="Y11" s="61"/>
      <c r="Z11" s="62"/>
      <c r="AA11" s="63"/>
      <c r="AB11" s="64"/>
      <c r="AC11" s="64"/>
      <c r="AD11" s="65"/>
      <c r="AE11" s="66"/>
      <c r="AF11" s="67"/>
      <c r="AG11" s="67"/>
      <c r="AH11" s="67"/>
      <c r="AI11" s="67"/>
      <c r="AJ11" s="68"/>
      <c r="AK11" s="67"/>
      <c r="AL11" s="69"/>
      <c r="AM11" s="69"/>
      <c r="AN11" s="69"/>
      <c r="AO11" s="70"/>
      <c r="AP11" s="70"/>
      <c r="AQ11" s="70"/>
      <c r="AR11" s="71"/>
      <c r="AS11" s="71"/>
      <c r="AT11" s="71"/>
      <c r="AU11" s="71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11"/>
    </row>
    <row r="12">
      <c r="B12" t="str">
        <f>V12</f>
        <v>Guidewire Software</v>
      </c>
      <c r="C12" t="s" s="160">
        <v>186</v>
      </c>
      <c r="D12" s="149">
        <f>AB12</f>
        <v>217.77</v>
      </c>
      <c r="E12" s="169">
        <f>AD12</f>
        <v>0.8315640751489233</v>
      </c>
      <c r="F12" s="147">
        <f>AH12</f>
        <v>18542.180352240004</v>
      </c>
      <c r="G12" s="159">
        <f>IF(ISNUMBER(AP12),AP12,BT12)</f>
        <v>0.16999999999999993</v>
      </c>
      <c r="H12" s="159">
        <f>AQ12</f>
        <v>0.3469999999999999</v>
      </c>
      <c r="I12" s="159">
        <f>G12+H12</f>
        <v>0.5169999999999999</v>
      </c>
      <c r="J12" s="148">
        <f>AS12</f>
        <v>12.369700034849902</v>
      </c>
      <c r="K12" s="148">
        <f>AU12</f>
        <v>35.64755053270866</v>
      </c>
      <c r="L12" s="159">
        <f>G12-$D$57</f>
        <v>0.016999999999999932</v>
      </c>
      <c r="M12" s="159">
        <f>H12-$D$58</f>
        <v>-0.012574468085106483</v>
      </c>
      <c r="N12" t="str" s="51">
        <f>IF(AND(ABS(L12)&lt;=$D$60,ABS(M12)&lt;=$D$61),"Fair comp",IF(AND(I12&lt;$D$59,J12&lt;$D$62),"Flatters price","Not comparable"))</f>
        <v>Fair comp</v>
      </c>
      <c r="O12" t="s" s="142">
        <v>206</v>
      </c>
      <c r="V12" t="s">
        <v>64</v>
      </c>
      <c r="W12" t="s" s="51">
        <v>65</v>
      </c>
      <c r="X12" t="s" s="51">
        <v>66</v>
      </c>
      <c r="Y12" t="s" s="51">
        <v>67</v>
      </c>
      <c r="Z12" s="72">
        <v>217.77</v>
      </c>
      <c r="AA12" s="53">
        <f>1</f>
        <v>1</v>
      </c>
      <c r="AB12" s="30">
        <f>Z12*AA12</f>
        <v>217.77</v>
      </c>
      <c r="AC12" s="73">
        <v>261.88</v>
      </c>
      <c r="AD12" s="54">
        <f>Z12/AC12</f>
        <v>0.8315640751489233</v>
      </c>
      <c r="AE12" s="55">
        <f>(AX12+IF(BA12&lt;&gt;"",BA12,AY12-AZ12)-BB12)/10^6</f>
        <v>86.690712</v>
      </c>
      <c r="AF12" s="32">
        <f>AB12*AE12</f>
        <v>18878.636352240002</v>
      </c>
      <c r="AG12" s="32">
        <f>(SUM(BC12:BF12)-BG12-BH12)/10^6*BS12</f>
        <v>-336.456</v>
      </c>
      <c r="AH12" s="32">
        <f>AF12+AG12</f>
        <v>18542.180352240004</v>
      </c>
      <c r="AI12" s="32">
        <f>IF(BK12&lt;&gt;"",BK12,BR12*1000)</f>
        <v>16989</v>
      </c>
      <c r="AJ12" s="56">
        <f>AH12/AI12-1</f>
        <v>0.0914227060003534</v>
      </c>
      <c r="AK12" s="32">
        <f>(BO12*IF(BQ12&gt;=6,IF(BQ12&lt;=7,BQ12/12,1),1)+BP12*IF(BQ12&gt;=6,IF(BQ12&lt;=7,1-BQ12/12,0),0))/10^6*BS12</f>
        <v>1072.9811666666667</v>
      </c>
      <c r="AL12" s="57">
        <f>IF(BN12&lt;&gt;"",AM12/(1+BN12),"n.a.")</f>
        <v>1281.1965811965813</v>
      </c>
      <c r="AM12" s="57">
        <f>IF(BI12&lt;&gt;"",BI12,BK12/BL12)</f>
        <v>1499</v>
      </c>
      <c r="AN12" s="57">
        <f>IF(BI12&lt;&gt;"",BI12*BJ12,BK12/BM12)</f>
        <v>520.1529999999999</v>
      </c>
      <c r="AO12" s="58">
        <f>IF(ISNUMBER(AL12),AL12/AK12-1,"n.a.")</f>
        <v>0.19405318657806325</v>
      </c>
      <c r="AP12" s="58">
        <f>IF(ISNUMBER(AL12),AM12/AL12-1,"n.a.")</f>
        <v>0.16999999999999993</v>
      </c>
      <c r="AQ12" s="58">
        <f>AN12/AM12</f>
        <v>0.3469999999999999</v>
      </c>
      <c r="AR12" s="59">
        <f>IF(ISNUMBER(AL12),AH12/AL12,"n.a.")</f>
        <v>14.472549040774386</v>
      </c>
      <c r="AS12" s="59">
        <f>AH12/AM12</f>
        <v>12.369700034849902</v>
      </c>
      <c r="AT12" t="s" s="59">
        <v>68</v>
      </c>
      <c r="AU12" s="59">
        <f>AH12/AN12</f>
        <v>35.64755053270866</v>
      </c>
      <c r="AX12" s="74">
        <v>85019176</v>
      </c>
      <c r="AY12" s="74">
        <v>86451737</v>
      </c>
      <c r="AZ12" s="74">
        <v>84780201</v>
      </c>
      <c r="BA12" s="75"/>
      <c r="BB12" s="75"/>
      <c r="BC12" s="75"/>
      <c r="BD12" s="75"/>
      <c r="BE12" s="74">
        <v>675443000</v>
      </c>
      <c r="BF12" s="75"/>
      <c r="BG12" s="74">
        <v>492038000</v>
      </c>
      <c r="BH12" s="74">
        <v>519861000</v>
      </c>
      <c r="BI12" s="76">
        <v>1499</v>
      </c>
      <c r="BJ12" s="77">
        <v>0.347</v>
      </c>
      <c r="BK12" s="76">
        <v>16989</v>
      </c>
      <c r="BL12" s="78">
        <v>11.3</v>
      </c>
      <c r="BM12" s="78">
        <v>34.7</v>
      </c>
      <c r="BN12" s="77">
        <v>0.17</v>
      </c>
      <c r="BO12" s="74">
        <v>980497000</v>
      </c>
      <c r="BP12" s="74">
        <v>1202459000</v>
      </c>
      <c r="BQ12" s="79">
        <v>7</v>
      </c>
      <c r="BR12" s="80">
        <v>16.9</v>
      </c>
      <c r="BS12" s="81">
        <f>1</f>
        <v>1</v>
      </c>
      <c r="BT12" s="211">
        <v>0.151</v>
      </c>
    </row>
    <row r="13">
      <c r="B13" t="str">
        <f>V13</f>
        <v>Intapp</v>
      </c>
      <c r="C13" t="s" s="160">
        <v>20</v>
      </c>
      <c r="D13" s="149">
        <f>AB13</f>
        <v>40.19</v>
      </c>
      <c r="E13" s="169">
        <f>AD13</f>
        <v>0.5423751686909581</v>
      </c>
      <c r="F13" s="147">
        <f>AH13</f>
        <v>3019.18827139</v>
      </c>
      <c r="G13" s="159">
        <f>IF(ISNUMBER(AP13),AP13,BT13)</f>
        <v>0.1299999999999999</v>
      </c>
      <c r="H13" s="159">
        <f>AQ13</f>
        <v>0.204</v>
      </c>
      <c r="I13" s="159">
        <f>G13+H13</f>
        <v>0.33399999999999985</v>
      </c>
      <c r="J13" s="148">
        <f>AS13</f>
        <v>4.9576162091789815</v>
      </c>
      <c r="K13" s="148">
        <f>AU13</f>
        <v>24.302040241073442</v>
      </c>
      <c r="L13" s="159">
        <f>G13-$D$57</f>
        <v>-0.023000000000000104</v>
      </c>
      <c r="M13" s="159">
        <f>H13-$D$58</f>
        <v>-0.15557446808510642</v>
      </c>
      <c r="N13" t="str" s="51">
        <f>IF(AND(ABS(L13)&lt;=$D$60,ABS(M13)&lt;=$D$61),"Fair comp",IF(AND(I13&lt;$D$59,J13&lt;$D$62),"Flatters price","Not comparable"))</f>
        <v>Flatters price</v>
      </c>
      <c r="O13" t="s" s="142">
        <v>207</v>
      </c>
      <c r="V13" t="s">
        <v>69</v>
      </c>
      <c r="W13" t="s" s="51">
        <v>70</v>
      </c>
      <c r="X13" t="s" s="51">
        <v>66</v>
      </c>
      <c r="Y13" t="s" s="51">
        <v>71</v>
      </c>
      <c r="Z13" s="72">
        <v>40.19</v>
      </c>
      <c r="AA13" s="53">
        <f>1</f>
        <v>1</v>
      </c>
      <c r="AB13" s="30">
        <f>Z13*AA13</f>
        <v>40.19</v>
      </c>
      <c r="AC13" s="73">
        <v>74.1</v>
      </c>
      <c r="AD13" s="54">
        <f>Z13/AC13</f>
        <v>0.5423751686909581</v>
      </c>
      <c r="AE13" s="55">
        <f>(AX13+IF(BA13&lt;&gt;"",BA13,AY13-AZ13)-BB13)/10^6</f>
        <v>81.926481</v>
      </c>
      <c r="AF13" s="32">
        <f>AB13*AE13</f>
        <v>3292.62527139</v>
      </c>
      <c r="AG13" s="32">
        <f>(SUM(BC13:BF13)-BG13-BH13)/10^6*BS13</f>
        <v>-273.437</v>
      </c>
      <c r="AH13" s="32">
        <f>AF13+AG13</f>
        <v>3019.18827139</v>
      </c>
      <c r="AI13" s="32">
        <f>IF(BK13&lt;&gt;"",BK13,BR13*1000)</f>
        <v>3900</v>
      </c>
      <c r="AJ13" s="56">
        <f>AH13/AI13-1</f>
        <v>-0.22584916118205134</v>
      </c>
      <c r="AK13" s="32">
        <f>(BO13*IF(BQ13&gt;=6,IF(BQ13&lt;=7,BQ13/12,1),1)+BP13*IF(BQ13&gt;=6,IF(BQ13&lt;=7,1-BQ13/12,0),0))/10^6*BS13</f>
        <v>467.3215</v>
      </c>
      <c r="AL13" s="57">
        <f>IF(BN13&lt;&gt;"",AM13/(1+BN13),"n.a.")</f>
        <v>538.9380530973452</v>
      </c>
      <c r="AM13" s="57">
        <f>IF(BI13&lt;&gt;"",BI13,BK13/BL13)</f>
        <v>609</v>
      </c>
      <c r="AN13" s="57">
        <f>IF(BI13&lt;&gt;"",BI13*BJ13,BK13/BM13)</f>
        <v>124.23599999999999</v>
      </c>
      <c r="AO13" s="58">
        <f>IF(ISNUMBER(AL13),AL13/AK13-1,"n.a.")</f>
        <v>0.1532490011637495</v>
      </c>
      <c r="AP13" s="58">
        <f>IF(ISNUMBER(AL13),AM13/AL13-1,"n.a.")</f>
        <v>0.1299999999999999</v>
      </c>
      <c r="AQ13" s="58">
        <f>AN13/AM13</f>
        <v>0.204</v>
      </c>
      <c r="AR13" s="59">
        <f>IF(ISNUMBER(AL13),AH13/AL13,"n.a.")</f>
        <v>5.602106316372248</v>
      </c>
      <c r="AS13" s="59">
        <f>AH13/AM13</f>
        <v>4.9576162091789815</v>
      </c>
      <c r="AT13" t="s" s="59">
        <v>68</v>
      </c>
      <c r="AU13" s="59">
        <f>AH13/AN13</f>
        <v>24.302040241073442</v>
      </c>
      <c r="AX13" s="74">
        <v>81926481</v>
      </c>
      <c r="AY13" s="74">
        <v>81878000</v>
      </c>
      <c r="AZ13" s="74">
        <v>81878000</v>
      </c>
      <c r="BA13" s="75"/>
      <c r="BB13" s="75"/>
      <c r="BC13" s="75"/>
      <c r="BD13" s="75"/>
      <c r="BE13" s="75"/>
      <c r="BF13" s="75"/>
      <c r="BG13" s="74">
        <v>273437000</v>
      </c>
      <c r="BH13" s="75"/>
      <c r="BI13" s="76">
        <v>609</v>
      </c>
      <c r="BJ13" s="77">
        <v>0.204</v>
      </c>
      <c r="BK13" s="82"/>
      <c r="BL13" s="83"/>
      <c r="BM13" s="83"/>
      <c r="BN13" s="77">
        <v>0.13</v>
      </c>
      <c r="BO13" s="74">
        <v>430523000</v>
      </c>
      <c r="BP13" s="74">
        <v>504120000</v>
      </c>
      <c r="BQ13" s="79">
        <v>6</v>
      </c>
      <c r="BR13" s="80">
        <v>3.9</v>
      </c>
      <c r="BS13" s="81">
        <f>1</f>
        <v>1</v>
      </c>
      <c r="BT13" s="211">
        <v>0.137</v>
      </c>
    </row>
    <row r="14">
      <c r="B14" t="str">
        <f>V14</f>
        <v>Q2 Holdings</v>
      </c>
      <c r="C14" t="s" s="160">
        <v>187</v>
      </c>
      <c r="D14" s="149">
        <f>AB14</f>
        <v>73.19</v>
      </c>
      <c r="E14" s="169">
        <f>AD14</f>
        <v>0.6602616147947677</v>
      </c>
      <c r="F14" s="147">
        <f>AH14</f>
        <v>4788.91739595</v>
      </c>
      <c r="G14" s="159">
        <f>IF(ISNUMBER(AP14),AP14,BT14)</f>
        <v>0.10000000000000009</v>
      </c>
      <c r="H14" s="159">
        <f>AQ14</f>
        <v>0.258</v>
      </c>
      <c r="I14" s="159">
        <f>G14+H14</f>
        <v>0.3580000000000001</v>
      </c>
      <c r="J14" s="148">
        <f>AS14</f>
        <v>5.485586936941581</v>
      </c>
      <c r="K14" s="148">
        <f>AU14</f>
        <v>21.261964871866592</v>
      </c>
      <c r="L14" s="159">
        <f>G14-$D$57</f>
        <v>-0.05299999999999991</v>
      </c>
      <c r="M14" s="159">
        <f>H14-$D$58</f>
        <v>-0.1015744680851064</v>
      </c>
      <c r="N14" t="str" s="51">
        <f>IF(AND(ABS(L14)&lt;=$D$60,ABS(M14)&lt;=$D$61),"Fair comp",IF(AND(I14&lt;$D$59,J14&lt;$D$62),"Flatters price","Not comparable"))</f>
        <v>Flatters price</v>
      </c>
      <c r="O14" t="s" s="142">
        <v>208</v>
      </c>
      <c r="V14" t="s">
        <v>72</v>
      </c>
      <c r="W14" t="s" s="51">
        <v>73</v>
      </c>
      <c r="X14" t="s" s="51">
        <v>66</v>
      </c>
      <c r="Y14" t="s" s="51">
        <v>74</v>
      </c>
      <c r="Z14" s="72">
        <v>73.19</v>
      </c>
      <c r="AA14" s="53">
        <f>1</f>
        <v>1</v>
      </c>
      <c r="AB14" s="30">
        <f>Z14*AA14</f>
        <v>73.19</v>
      </c>
      <c r="AC14" s="73">
        <v>110.85</v>
      </c>
      <c r="AD14" s="54">
        <f>Z14/AC14</f>
        <v>0.6602616147947677</v>
      </c>
      <c r="AE14" s="55">
        <f>(AX14+IF(BA14&lt;&gt;"",BA14,AY14-AZ14)-BB14)/10^6</f>
        <v>65.137005</v>
      </c>
      <c r="AF14" s="32">
        <f>AB14*AE14</f>
        <v>4767.37739595</v>
      </c>
      <c r="AG14" s="32">
        <f>(SUM(BC14:BF14)-BG14-BH14)/10^6*BS14</f>
        <v>21.54</v>
      </c>
      <c r="AH14" s="32">
        <f>AF14+AG14</f>
        <v>4788.91739595</v>
      </c>
      <c r="AI14" s="32">
        <f>IF(BK14&lt;&gt;"",BK14,BR14*1000)</f>
        <v>4823</v>
      </c>
      <c r="AJ14" s="56">
        <f>AH14/AI14-1</f>
        <v>-0.007066681329048197</v>
      </c>
      <c r="AK14" s="32">
        <f>(BO14*IF(BQ14&gt;=6,IF(BQ14&lt;=7,BQ14/12,1),1)+BP14*IF(BQ14&gt;=6,IF(BQ14&lt;=7,1-BQ14/12,0),0))/10^6*BS14</f>
        <v>696.464</v>
      </c>
      <c r="AL14" s="57">
        <f>IF(BN14&lt;&gt;"",AM14/(1+BN14),"n.a.")</f>
        <v>793.6363636363636</v>
      </c>
      <c r="AM14" s="57">
        <f>IF(BI14&lt;&gt;"",BI14,BK14/BL14)</f>
        <v>873</v>
      </c>
      <c r="AN14" s="57">
        <f>IF(BI14&lt;&gt;"",BI14*BJ14,BK14/BM14)</f>
        <v>225.234</v>
      </c>
      <c r="AO14" s="58">
        <f>IF(ISNUMBER(AL14),AL14/AK14-1,"n.a.")</f>
        <v>0.13952245002808983</v>
      </c>
      <c r="AP14" s="58">
        <f>IF(ISNUMBER(AL14),AM14/AL14-1,"n.a.")</f>
        <v>0.10000000000000009</v>
      </c>
      <c r="AQ14" s="58">
        <f>AN14/AM14</f>
        <v>0.258</v>
      </c>
      <c r="AR14" s="59">
        <f>IF(ISNUMBER(AL14),AH14/AL14,"n.a.")</f>
        <v>6.03414563063574</v>
      </c>
      <c r="AS14" s="59">
        <f>AH14/AM14</f>
        <v>5.485586936941581</v>
      </c>
      <c r="AT14" t="s" s="59">
        <v>68</v>
      </c>
      <c r="AU14" s="59">
        <f>AH14/AN14</f>
        <v>21.261964871866592</v>
      </c>
      <c r="AX14" s="74">
        <v>62530005</v>
      </c>
      <c r="AY14" s="74">
        <v>69858000</v>
      </c>
      <c r="AZ14" s="74">
        <v>62458000</v>
      </c>
      <c r="BA14" s="75"/>
      <c r="BB14" s="74">
        <v>4793000</v>
      </c>
      <c r="BC14" s="74">
        <v>493933000</v>
      </c>
      <c r="BD14" s="75"/>
      <c r="BE14" s="75"/>
      <c r="BF14" s="75"/>
      <c r="BG14" s="74">
        <v>472393000</v>
      </c>
      <c r="BH14" s="75"/>
      <c r="BI14" s="76">
        <v>873</v>
      </c>
      <c r="BJ14" s="77">
        <v>0.258</v>
      </c>
      <c r="BK14" s="76">
        <v>4823</v>
      </c>
      <c r="BL14" s="78">
        <v>5.5</v>
      </c>
      <c r="BM14" s="78">
        <v>21.4</v>
      </c>
      <c r="BN14" s="77">
        <v>0.1</v>
      </c>
      <c r="BO14" s="74">
        <v>696464000</v>
      </c>
      <c r="BP14" s="75"/>
      <c r="BQ14" s="79">
        <v>12</v>
      </c>
      <c r="BR14" s="80">
        <v>4.9</v>
      </c>
      <c r="BS14" s="81">
        <f>1</f>
        <v>1</v>
      </c>
      <c r="BT14" s="211">
        <v>0.105</v>
      </c>
    </row>
    <row r="15">
      <c r="B15" t="str">
        <f>V15</f>
        <v>CCC Intelligent Solutions</v>
      </c>
      <c r="C15" t="s" s="160">
        <v>20</v>
      </c>
      <c r="D15" s="149">
        <f>AB15</f>
        <v>7.49</v>
      </c>
      <c r="E15" s="169">
        <f>AD15</f>
        <v>0.5874509803921569</v>
      </c>
      <c r="F15" s="147">
        <f>AH15</f>
        <v>5717.250223440001</v>
      </c>
      <c r="G15" s="159">
        <f>IF(ISNUMBER(AP15),AP15,BT15)</f>
        <v>0.09000000000000008</v>
      </c>
      <c r="H15" s="159">
        <f>AQ15</f>
        <v>0.411</v>
      </c>
      <c r="I15" s="159">
        <f>G15+H15</f>
        <v>0.5010000000000001</v>
      </c>
      <c r="J15" s="148">
        <f>AS15</f>
        <v>4.980183121463416</v>
      </c>
      <c r="K15" s="148">
        <f>AU15</f>
        <v>12.117233872173761</v>
      </c>
      <c r="L15" s="159">
        <f>G15-$D$57</f>
        <v>-0.06299999999999992</v>
      </c>
      <c r="M15" s="159">
        <f>H15-$D$58</f>
        <v>0.051425531914893574</v>
      </c>
      <c r="N15" t="str" s="51">
        <f>IF(AND(ABS(L15)&lt;=$D$60,ABS(M15)&lt;=$D$61),"Fair comp",IF(AND(I15&lt;$D$59,J15&lt;$D$62),"Flatters price","Not comparable"))</f>
        <v>Flatters price</v>
      </c>
      <c r="O15" t="s" s="142">
        <v>209</v>
      </c>
      <c r="V15" t="s">
        <v>76</v>
      </c>
      <c r="W15" t="s" s="51">
        <v>77</v>
      </c>
      <c r="X15" t="s" s="51">
        <v>66</v>
      </c>
      <c r="Y15" t="s" s="51">
        <v>71</v>
      </c>
      <c r="Z15" s="72">
        <v>7.49</v>
      </c>
      <c r="AA15" s="53">
        <f>1</f>
        <v>1</v>
      </c>
      <c r="AB15" s="30">
        <f>Z15*AA15</f>
        <v>7.49</v>
      </c>
      <c r="AC15" s="73">
        <v>12.75</v>
      </c>
      <c r="AD15" s="54">
        <f>Z15/AC15</f>
        <v>0.5874509803921569</v>
      </c>
      <c r="AE15" s="55">
        <f>(AX15+IF(BA15&lt;&gt;"",BA15,AY15-AZ15)-BB15)/10^6</f>
        <v>642.019656</v>
      </c>
      <c r="AF15" s="32">
        <f>AB15*AE15</f>
        <v>4808.727223440001</v>
      </c>
      <c r="AG15" s="32">
        <f>(SUM(BC15:BF15)-BG15-BH15)/10^6*BS15</f>
        <v>908.523</v>
      </c>
      <c r="AH15" s="32">
        <f>AF15+AG15</f>
        <v>5717.250223440001</v>
      </c>
      <c r="AI15" s="32">
        <f>IF(BK15&lt;&gt;"",BK15,BR15*1000)</f>
        <v>6300</v>
      </c>
      <c r="AJ15" s="56">
        <f>AH15/AI15-1</f>
        <v>-0.0924999645333332</v>
      </c>
      <c r="AK15" s="32">
        <f>(BO15*IF(BQ15&gt;=6,IF(BQ15&lt;=7,BQ15/12,1),1)+BP15*IF(BQ15&gt;=6,IF(BQ15&lt;=7,1-BQ15/12,0),0))/10^6*BS15</f>
        <v>944.8</v>
      </c>
      <c r="AL15" s="57">
        <f>IF(BN15&lt;&gt;"",AM15/(1+BN15),"n.a.")</f>
        <v>1053.2110091743118</v>
      </c>
      <c r="AM15" s="57">
        <f>IF(BI15&lt;&gt;"",BI15,BK15/BL15)</f>
        <v>1148</v>
      </c>
      <c r="AN15" s="57">
        <f>IF(BI15&lt;&gt;"",BI15*BJ15,BK15/BM15)</f>
        <v>471.828</v>
      </c>
      <c r="AO15" s="58">
        <f>IF(ISNUMBER(AL15),AL15/AK15-1,"n.a.")</f>
        <v>0.1147449292700169</v>
      </c>
      <c r="AP15" s="58">
        <f>IF(ISNUMBER(AL15),AM15/AL15-1,"n.a.")</f>
        <v>0.09000000000000008</v>
      </c>
      <c r="AQ15" s="58">
        <f>AN15/AM15</f>
        <v>0.411</v>
      </c>
      <c r="AR15" s="59">
        <f>IF(ISNUMBER(AL15),AH15/AL15,"n.a.")</f>
        <v>5.428399602395123</v>
      </c>
      <c r="AS15" s="59">
        <f>AH15/AM15</f>
        <v>4.980183121463416</v>
      </c>
      <c r="AT15" t="s" s="59">
        <v>68</v>
      </c>
      <c r="AU15" s="59">
        <f>AH15/AN15</f>
        <v>12.117233872173761</v>
      </c>
      <c r="AX15" s="74">
        <v>642019656</v>
      </c>
      <c r="AY15" s="74">
        <v>631440015</v>
      </c>
      <c r="AZ15" s="74">
        <v>631440015</v>
      </c>
      <c r="BA15" s="75"/>
      <c r="BB15" s="75"/>
      <c r="BC15" s="74">
        <v>10010000</v>
      </c>
      <c r="BD15" s="74">
        <v>24446000</v>
      </c>
      <c r="BE15" s="74">
        <v>971208000</v>
      </c>
      <c r="BF15" s="75"/>
      <c r="BG15" s="74">
        <v>97141000</v>
      </c>
      <c r="BH15" s="75"/>
      <c r="BI15" s="76">
        <v>1148</v>
      </c>
      <c r="BJ15" s="77">
        <v>0.411</v>
      </c>
      <c r="BK15" s="82"/>
      <c r="BL15" s="83"/>
      <c r="BM15" s="83"/>
      <c r="BN15" s="77">
        <v>0.09</v>
      </c>
      <c r="BO15" s="74">
        <v>944800000</v>
      </c>
      <c r="BP15" s="75"/>
      <c r="BQ15" s="79">
        <v>12</v>
      </c>
      <c r="BR15" s="80">
        <v>6.3</v>
      </c>
      <c r="BS15" s="81">
        <f>1</f>
        <v>1</v>
      </c>
      <c r="BT15" s="211">
        <v>0.086</v>
      </c>
    </row>
    <row r="16">
      <c r="B16" t="str">
        <f>V16</f>
        <v>nCino</v>
      </c>
      <c r="C16" t="s" s="160">
        <v>187</v>
      </c>
      <c r="D16" s="149">
        <f>AB16</f>
        <v>26.21</v>
      </c>
      <c r="E16" s="169">
        <f>AD16</f>
        <v>0.6146810506566605</v>
      </c>
      <c r="F16" s="147">
        <f>AH16</f>
        <v>3171.52928476</v>
      </c>
      <c r="G16" s="159">
        <f>IF(ISNUMBER(AP16),AP16,BT16)</f>
        <v>0.08000000000000007</v>
      </c>
      <c r="H16" s="159">
        <f>AQ16</f>
        <v>0.255</v>
      </c>
      <c r="I16" s="159">
        <f>G16+H16</f>
        <v>0.3350000000000001</v>
      </c>
      <c r="J16" s="148">
        <f>AS16</f>
        <v>4.963269616212832</v>
      </c>
      <c r="K16" s="148">
        <f>AU16</f>
        <v>19.463802416520913</v>
      </c>
      <c r="L16" s="159">
        <f>G16-$D$57</f>
        <v>-0.07299999999999993</v>
      </c>
      <c r="M16" s="159">
        <f>H16-$D$58</f>
        <v>-0.1045744680851064</v>
      </c>
      <c r="N16" t="str" s="51">
        <f>IF(AND(ABS(L16)&lt;=$D$60,ABS(M16)&lt;=$D$61),"Fair comp",IF(AND(I16&lt;$D$59,J16&lt;$D$62),"Flatters price","Not comparable"))</f>
        <v>Flatters price</v>
      </c>
      <c r="O16" t="s" s="142">
        <v>210</v>
      </c>
      <c r="V16" t="s">
        <v>79</v>
      </c>
      <c r="W16" t="s" s="51">
        <v>80</v>
      </c>
      <c r="X16" t="s" s="51">
        <v>66</v>
      </c>
      <c r="Y16" t="s" s="51">
        <v>74</v>
      </c>
      <c r="Z16" s="72">
        <v>26.21</v>
      </c>
      <c r="AA16" s="53">
        <f>1</f>
        <v>1</v>
      </c>
      <c r="AB16" s="30">
        <f>Z16*AA16</f>
        <v>26.21</v>
      </c>
      <c r="AC16" s="73">
        <v>42.64</v>
      </c>
      <c r="AD16" s="54">
        <f>Z16/AC16</f>
        <v>0.6146810506566605</v>
      </c>
      <c r="AE16" s="55">
        <f>(AX16+IF(BA16&lt;&gt;"",BA16,AY16-AZ16)-BB16)/10^6</f>
        <v>116.107756</v>
      </c>
      <c r="AF16" s="32">
        <f>AB16*AE16</f>
        <v>3043.18428476</v>
      </c>
      <c r="AG16" s="32">
        <f>(SUM(BC16:BF16)-BG16-BH16)/10^6*BS16</f>
        <v>128.345</v>
      </c>
      <c r="AH16" s="32">
        <f>AF16+AG16</f>
        <v>3171.52928476</v>
      </c>
      <c r="AI16" s="32">
        <f>IF(BK16&lt;&gt;"",BK16,BR16*1000)</f>
        <v>3253</v>
      </c>
      <c r="AJ16" s="56">
        <f>AH16/AI16-1</f>
        <v>-0.025044794110052337</v>
      </c>
      <c r="AK16" s="32">
        <f>(BO16*IF(BQ16&gt;=6,IF(BQ16&lt;=7,BQ16/12,1),1)+BP16*IF(BQ16&gt;=6,IF(BQ16&lt;=7,1-BQ16/12,0),0))/10^6*BS16</f>
        <v>540.657</v>
      </c>
      <c r="AL16" s="57">
        <f>IF(BN16&lt;&gt;"",AM16/(1+BN16),"n.a.")</f>
        <v>591.6666666666666</v>
      </c>
      <c r="AM16" s="57">
        <f>IF(BI16&lt;&gt;"",BI16,BK16/BL16)</f>
        <v>639</v>
      </c>
      <c r="AN16" s="57">
        <f>IF(BI16&lt;&gt;"",BI16*BJ16,BK16/BM16)</f>
        <v>162.945</v>
      </c>
      <c r="AO16" s="58">
        <f>IF(ISNUMBER(AL16),AL16/AK16-1,"n.a.")</f>
        <v>0.09434755615236012</v>
      </c>
      <c r="AP16" s="58">
        <f>IF(ISNUMBER(AL16),AM16/AL16-1,"n.a.")</f>
        <v>0.08000000000000007</v>
      </c>
      <c r="AQ16" s="58">
        <f>AN16/AM16</f>
        <v>0.255</v>
      </c>
      <c r="AR16" s="59">
        <f>IF(ISNUMBER(AL16),AH16/AL16,"n.a.")</f>
        <v>5.360331185509859</v>
      </c>
      <c r="AS16" s="59">
        <f>AH16/AM16</f>
        <v>4.963269616212832</v>
      </c>
      <c r="AT16" t="s" s="59">
        <v>68</v>
      </c>
      <c r="AU16" s="59">
        <f>AH16/AN16</f>
        <v>19.463802416520913</v>
      </c>
      <c r="AX16" s="74">
        <v>114684968</v>
      </c>
      <c r="AY16" s="74">
        <v>115830218</v>
      </c>
      <c r="AZ16" s="74">
        <v>114407430</v>
      </c>
      <c r="BA16" s="75"/>
      <c r="BB16" s="75"/>
      <c r="BC16" s="75"/>
      <c r="BD16" s="75"/>
      <c r="BE16" s="74">
        <v>203500000</v>
      </c>
      <c r="BF16" s="74">
        <v>12435000</v>
      </c>
      <c r="BG16" s="74">
        <v>87590000</v>
      </c>
      <c r="BH16" s="75"/>
      <c r="BI16" s="76">
        <v>639</v>
      </c>
      <c r="BJ16" s="77">
        <v>0.255</v>
      </c>
      <c r="BK16" s="76">
        <v>3253</v>
      </c>
      <c r="BL16" s="78">
        <v>5.1</v>
      </c>
      <c r="BM16" s="78">
        <v>20.5</v>
      </c>
      <c r="BN16" s="77">
        <v>0.08</v>
      </c>
      <c r="BO16" s="74">
        <v>540657000</v>
      </c>
      <c r="BP16" s="75"/>
      <c r="BQ16" s="79">
        <v>1</v>
      </c>
      <c r="BR16" s="80">
        <v>3.3</v>
      </c>
      <c r="BS16" s="81">
        <f>1</f>
        <v>1</v>
      </c>
      <c r="BT16" s="211">
        <v>0.097</v>
      </c>
    </row>
    <row r="17">
      <c r="B17" t="str">
        <f>V17</f>
        <v>Alkami Technology</v>
      </c>
      <c r="C17" t="s" s="160">
        <v>187</v>
      </c>
      <c r="D17" s="149">
        <f>AB17</f>
        <v>19.69</v>
      </c>
      <c r="E17" s="169">
        <f>AD17</f>
        <v>0.466366650876362</v>
      </c>
      <c r="F17" s="147">
        <f>AH17</f>
        <v>2337.33397659</v>
      </c>
      <c r="G17" s="159">
        <f>IF(ISNUMBER(AP17),AP17,BT17)</f>
        <v>0.24</v>
      </c>
      <c r="H17" s="159">
        <f>AQ17</f>
        <v>0.189</v>
      </c>
      <c r="I17" s="159">
        <f>G17+H17</f>
        <v>0.429</v>
      </c>
      <c r="J17" s="148">
        <f>AS17</f>
        <v>4.249698139254545</v>
      </c>
      <c r="K17" s="148">
        <f>AU17</f>
        <v>22.48517533997114</v>
      </c>
      <c r="L17" s="159">
        <f>G17-$D$57</f>
        <v>0.087</v>
      </c>
      <c r="M17" s="159">
        <f>H17-$D$58</f>
        <v>-0.1705744680851064</v>
      </c>
      <c r="N17" t="str" s="51">
        <f>IF(AND(ABS(L17)&lt;=$D$60,ABS(M17)&lt;=$D$61),"Fair comp",IF(AND(I17&lt;$D$59,J17&lt;$D$62),"Flatters price","Not comparable"))</f>
        <v>Flatters price</v>
      </c>
      <c r="O17" t="s" s="142">
        <v>211</v>
      </c>
      <c r="V17" t="s">
        <v>82</v>
      </c>
      <c r="W17" t="s" s="51">
        <v>83</v>
      </c>
      <c r="X17" t="s" s="51">
        <v>66</v>
      </c>
      <c r="Y17" t="s" s="51">
        <v>74</v>
      </c>
      <c r="Z17" s="72">
        <v>19.69</v>
      </c>
      <c r="AA17" s="53">
        <f>1</f>
        <v>1</v>
      </c>
      <c r="AB17" s="30">
        <f>Z17*AA17</f>
        <v>19.69</v>
      </c>
      <c r="AC17" s="73">
        <v>42.22</v>
      </c>
      <c r="AD17" s="54">
        <f>Z17/AC17</f>
        <v>0.466366650876362</v>
      </c>
      <c r="AE17" s="55">
        <f>(AX17+IF(BA17&lt;&gt;"",BA17,AY17-AZ17)-BB17)/10^6</f>
        <v>105.004011</v>
      </c>
      <c r="AF17" s="32">
        <f>AB17*AE17</f>
        <v>2067.52897659</v>
      </c>
      <c r="AG17" s="32">
        <f>(SUM(BC17:BF17)-BG17-BH17)/10^6*BS17</f>
        <v>269.805</v>
      </c>
      <c r="AH17" s="32">
        <f>AF17+AG17</f>
        <v>2337.33397659</v>
      </c>
      <c r="AI17" s="32">
        <f>IF(BK17&lt;&gt;"",BK17,BR17*1000)</f>
        <v>2836</v>
      </c>
      <c r="AJ17" s="56">
        <f>AH17/AI17-1</f>
        <v>-0.17583428187940764</v>
      </c>
      <c r="AK17" s="32">
        <f>(BO17*IF(BQ17&gt;=6,IF(BQ17&lt;=7,BQ17/12,1),1)+BP17*IF(BQ17&gt;=6,IF(BQ17&lt;=7,1-BQ17/12,0),0))/10^6*BS17</f>
        <v>333.849</v>
      </c>
      <c r="AL17" s="57">
        <f>IF(BN17&lt;&gt;"",AM17/(1+BN17),"n.a.")</f>
        <v>443.5483870967742</v>
      </c>
      <c r="AM17" s="57">
        <f>IF(BI17&lt;&gt;"",BI17,BK17/BL17)</f>
        <v>550</v>
      </c>
      <c r="AN17" s="57">
        <f>IF(BI17&lt;&gt;"",BI17*BJ17,BK17/BM17)</f>
        <v>103.95</v>
      </c>
      <c r="AO17" s="58">
        <f>IF(ISNUMBER(AL17),AL17/AK17-1,"n.a.")</f>
        <v>0.3285898328189518</v>
      </c>
      <c r="AP17" s="58">
        <f>IF(ISNUMBER(AL17),AM17/AL17-1,"n.a.")</f>
        <v>0.24</v>
      </c>
      <c r="AQ17" s="58">
        <f>AN17/AM17</f>
        <v>0.189</v>
      </c>
      <c r="AR17" s="59">
        <f>IF(ISNUMBER(AL17),AH17/AL17,"n.a.")</f>
        <v>5.269625692675636</v>
      </c>
      <c r="AS17" s="59">
        <f>AH17/AM17</f>
        <v>4.249698139254545</v>
      </c>
      <c r="AT17" t="s" s="59">
        <v>68</v>
      </c>
      <c r="AU17" s="59">
        <f>AH17/AN17</f>
        <v>22.48517533997114</v>
      </c>
      <c r="AX17" s="74">
        <v>105004011</v>
      </c>
      <c r="AY17" s="74">
        <v>104345319</v>
      </c>
      <c r="AZ17" s="74">
        <v>104345319</v>
      </c>
      <c r="BA17" s="75"/>
      <c r="BB17" s="75"/>
      <c r="BC17" s="75"/>
      <c r="BD17" s="75"/>
      <c r="BE17" s="74">
        <v>360717000</v>
      </c>
      <c r="BF17" s="75"/>
      <c r="BG17" s="74">
        <v>57316000</v>
      </c>
      <c r="BH17" s="74">
        <v>33596000</v>
      </c>
      <c r="BI17" s="76">
        <v>550</v>
      </c>
      <c r="BJ17" s="77">
        <v>0.189</v>
      </c>
      <c r="BK17" s="76">
        <v>2836</v>
      </c>
      <c r="BL17" s="78">
        <v>5.1</v>
      </c>
      <c r="BM17" s="78">
        <v>27.3</v>
      </c>
      <c r="BN17" s="77">
        <v>0.24</v>
      </c>
      <c r="BO17" s="74">
        <v>333849000</v>
      </c>
      <c r="BP17" s="75"/>
      <c r="BQ17" s="79">
        <v>12</v>
      </c>
      <c r="BR17" s="80">
        <v>2.8</v>
      </c>
      <c r="BS17" s="81">
        <f>1</f>
        <v>1</v>
      </c>
      <c r="BT17" s="211">
        <v>0.194</v>
      </c>
    </row>
    <row r="18">
      <c r="B18" t="str">
        <f>V18</f>
        <v>SS&amp;C Technologies</v>
      </c>
      <c r="C18" t="s" s="160">
        <v>20</v>
      </c>
      <c r="D18" s="149">
        <f>AB18</f>
        <v>84.89</v>
      </c>
      <c r="E18" s="169">
        <f>AD18</f>
        <v>0.9411308203991131</v>
      </c>
      <c r="F18" s="147">
        <f>AH18</f>
        <v>27720.618240670003</v>
      </c>
      <c r="G18" s="159">
        <f>IF(ISNUMBER(AP18),AP18,BT18)</f>
        <v>0.05499999999999994</v>
      </c>
      <c r="H18" s="159">
        <f>AQ18</f>
        <v>0.40199999999999997</v>
      </c>
      <c r="I18" s="159">
        <f>G18+H18</f>
        <v>0.4569999999999999</v>
      </c>
      <c r="J18" s="148">
        <f>AS18</f>
        <v>4.184875942130133</v>
      </c>
      <c r="K18" s="148">
        <f>AU18</f>
        <v>10.410139159527695</v>
      </c>
      <c r="L18" s="159">
        <f>G18-$D$57</f>
        <v>-0.09800000000000006</v>
      </c>
      <c r="M18" s="159">
        <f>H18-$D$58</f>
        <v>0.042425531914893566</v>
      </c>
      <c r="N18" t="str" s="51">
        <f>IF(AND(ABS(L18)&lt;=$D$60,ABS(M18)&lt;=$D$61),"Fair comp",IF(AND(I18&lt;$D$59,J18&lt;$D$62),"Flatters price","Not comparable"))</f>
        <v>Flatters price</v>
      </c>
      <c r="O18" t="s" s="142">
        <v>212</v>
      </c>
      <c r="V18" t="s">
        <v>85</v>
      </c>
      <c r="W18" t="s" s="51">
        <v>86</v>
      </c>
      <c r="X18" t="s" s="51">
        <v>66</v>
      </c>
      <c r="Y18" t="s" s="51">
        <v>71</v>
      </c>
      <c r="Z18" s="72">
        <v>84.89</v>
      </c>
      <c r="AA18" s="53">
        <f>1</f>
        <v>1</v>
      </c>
      <c r="AB18" s="30">
        <f>Z18*AA18</f>
        <v>84.89</v>
      </c>
      <c r="AC18" s="73">
        <v>90.2</v>
      </c>
      <c r="AD18" s="54">
        <f>Z18/AC18</f>
        <v>0.9411308203991131</v>
      </c>
      <c r="AE18" s="55">
        <f>(AX18+IF(BA18&lt;&gt;"",BA18,AY18-AZ18)-BB18)/10^6</f>
        <v>252.827403</v>
      </c>
      <c r="AF18" s="32">
        <f>AB18*AE18</f>
        <v>21462.51824067</v>
      </c>
      <c r="AG18" s="32">
        <f>(SUM(BC18:BF18)-BG18-BH18)/10^6*BS18</f>
        <v>6258.1</v>
      </c>
      <c r="AH18" s="32">
        <f>AF18+AG18</f>
        <v>27720.618240670003</v>
      </c>
      <c r="AI18" s="32">
        <f>IF(BK18&lt;&gt;"",BK18,BR18*1000)</f>
        <v>29600</v>
      </c>
      <c r="AJ18" s="56">
        <f>AH18/AI18-1</f>
        <v>-0.06349262700439184</v>
      </c>
      <c r="AK18" s="32">
        <f>(BO18*IF(BQ18&gt;=6,IF(BQ18&lt;=7,BQ18/12,1),1)+BP18*IF(BQ18&gt;=6,IF(BQ18&lt;=7,1-BQ18/12,0),0))/10^6*BS18</f>
        <v>5882</v>
      </c>
      <c r="AL18" s="57">
        <f>IF(BN18&lt;&gt;"",AM18/(1+BN18),"n.a.")</f>
        <v>6278.672985781991</v>
      </c>
      <c r="AM18" s="57">
        <f>IF(BI18&lt;&gt;"",BI18,BK18/BL18)</f>
        <v>6624</v>
      </c>
      <c r="AN18" s="57">
        <f>IF(BI18&lt;&gt;"",BI18*BJ18,BK18/BM18)</f>
        <v>2662.848</v>
      </c>
      <c r="AO18" s="58">
        <f>IF(ISNUMBER(AL18),AL18/AK18-1,"n.a.")</f>
        <v>0.06743845389017178</v>
      </c>
      <c r="AP18" s="58">
        <f>IF(ISNUMBER(AL18),AM18/AL18-1,"n.a.")</f>
        <v>0.05499999999999994</v>
      </c>
      <c r="AQ18" s="58">
        <f>AN18/AM18</f>
        <v>0.40199999999999997</v>
      </c>
      <c r="AR18" s="59">
        <f>IF(ISNUMBER(AL18),AH18/AL18,"n.a.")</f>
        <v>4.41504411894729</v>
      </c>
      <c r="AS18" s="59">
        <f>AH18/AM18</f>
        <v>4.184875942130133</v>
      </c>
      <c r="AT18" t="s" s="59">
        <v>68</v>
      </c>
      <c r="AU18" s="59">
        <f>AH18/AN18</f>
        <v>10.410139159527695</v>
      </c>
      <c r="AX18" s="74">
        <v>244027403</v>
      </c>
      <c r="AY18" s="74">
        <v>252600000</v>
      </c>
      <c r="AZ18" s="74">
        <v>243800000</v>
      </c>
      <c r="BA18" s="75"/>
      <c r="BB18" s="75"/>
      <c r="BC18" s="74">
        <v>20000000</v>
      </c>
      <c r="BD18" s="75"/>
      <c r="BE18" s="74">
        <v>6573100000</v>
      </c>
      <c r="BF18" s="74">
        <v>53300000</v>
      </c>
      <c r="BG18" s="74">
        <v>388300000</v>
      </c>
      <c r="BH18" s="75"/>
      <c r="BI18" s="76">
        <v>6624</v>
      </c>
      <c r="BJ18" s="77">
        <v>0.402</v>
      </c>
      <c r="BK18" s="82"/>
      <c r="BL18" s="83"/>
      <c r="BM18" s="83"/>
      <c r="BN18" s="77">
        <v>0.055</v>
      </c>
      <c r="BO18" s="74">
        <v>5882000000</v>
      </c>
      <c r="BP18" s="75"/>
      <c r="BQ18" s="79">
        <v>12</v>
      </c>
      <c r="BR18" s="80">
        <v>29.6</v>
      </c>
      <c r="BS18" s="81">
        <f>1</f>
        <v>1</v>
      </c>
      <c r="BT18" s="211">
        <v>0.054</v>
      </c>
    </row>
    <row r="19">
      <c r="B19" t="s" s="186">
        <v>75</v>
      </c>
      <c r="C19" s="187"/>
      <c r="D19" s="188"/>
      <c r="E19" s="189">
        <f>MEDIAN(E12:E18)</f>
        <v>0.6146810506566605</v>
      </c>
      <c r="F19" s="190"/>
      <c r="G19" s="191">
        <f>MEDIAN(G12:G18)</f>
        <v>0.10000000000000009</v>
      </c>
      <c r="H19" s="191">
        <f>MEDIAN(H12:H18)</f>
        <v>0.258</v>
      </c>
      <c r="I19" s="191">
        <f>MEDIAN(I12:I18)</f>
        <v>0.429</v>
      </c>
      <c r="J19" s="192">
        <f>MEDIAN(J12:J18)</f>
        <v>4.963269616212832</v>
      </c>
      <c r="K19" s="192">
        <f>MEDIAN(K12:K18)</f>
        <v>21.261964871866592</v>
      </c>
      <c r="L19" s="191"/>
      <c r="M19" s="191"/>
      <c r="N19" s="193"/>
      <c r="O19" s="194"/>
      <c r="V19" t="s" s="95">
        <v>75</v>
      </c>
      <c r="W19" s="96"/>
      <c r="X19" s="96"/>
      <c r="Y19" s="96"/>
      <c r="Z19" s="97"/>
      <c r="AA19" s="98"/>
      <c r="AB19" s="99"/>
      <c r="AC19" s="99"/>
      <c r="AD19" s="100">
        <f>MEDIAN(AD12:AD18)</f>
        <v>0.6146810506566605</v>
      </c>
      <c r="AE19" s="101"/>
      <c r="AF19" s="102"/>
      <c r="AG19" s="102"/>
      <c r="AH19" s="102"/>
      <c r="AI19" s="102"/>
      <c r="AJ19" s="103"/>
      <c r="AK19" s="102"/>
      <c r="AL19" s="104"/>
      <c r="AM19" s="104"/>
      <c r="AN19" s="104"/>
      <c r="AO19" s="105">
        <f>MEDIAN(AO12:AO18)</f>
        <v>0.13952245002808983</v>
      </c>
      <c r="AP19" s="105">
        <f>MEDIAN(AP12:AP18)</f>
        <v>0.10000000000000009</v>
      </c>
      <c r="AQ19" s="105">
        <f>MEDIAN(AQ12:AQ18)</f>
        <v>0.258</v>
      </c>
      <c r="AR19" s="106">
        <f>MEDIAN(AR12:AR18)</f>
        <v>5.428399602395123</v>
      </c>
      <c r="AS19" s="106">
        <f>MEDIAN(AS12:AS18)</f>
        <v>4.963269616212832</v>
      </c>
      <c r="AT19" s="106"/>
      <c r="AU19" s="106">
        <f>MEDIAN(AU12:AU18)</f>
        <v>21.261964871866592</v>
      </c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82"/>
      <c r="BJ19" s="107"/>
      <c r="BK19" s="82"/>
      <c r="BL19" s="83"/>
      <c r="BM19" s="83"/>
      <c r="BN19" s="107"/>
      <c r="BO19" s="75"/>
      <c r="BP19" s="75"/>
      <c r="BQ19" s="108"/>
      <c r="BR19" s="109"/>
      <c r="BS19" s="81"/>
      <c r="BT19" s="211"/>
    </row>
    <row r="20">
      <c r="B20" t="s" s="168">
        <v>78</v>
      </c>
      <c r="C20" s="160"/>
      <c r="D20" s="149"/>
      <c r="E20" s="169">
        <f>_xlfn.QUARTILE.INC(E12:E18,1)</f>
        <v>0.5649130745415576</v>
      </c>
      <c r="F20" s="147"/>
      <c r="G20" s="159">
        <f>_xlfn.QUARTILE.INC(G12:G18,1)</f>
        <v>0.08500000000000008</v>
      </c>
      <c r="H20" s="159">
        <f>_xlfn.QUARTILE.INC(H12:H18,1)</f>
        <v>0.22949999999999998</v>
      </c>
      <c r="I20" s="159">
        <f>_xlfn.QUARTILE.INC(I12:I18,1)</f>
        <v>0.3465000000000001</v>
      </c>
      <c r="J20" s="148">
        <f>_xlfn.QUARTILE.INC(J12:J18,1)</f>
        <v>4.603657174216764</v>
      </c>
      <c r="K20" s="148">
        <f>_xlfn.QUARTILE.INC(K12:K18,1)</f>
        <v>15.790518144347338</v>
      </c>
      <c r="L20" s="159"/>
      <c r="M20" s="159"/>
      <c r="N20" s="51"/>
      <c r="O20" s="142"/>
      <c r="V20" t="s">
        <v>78</v>
      </c>
      <c r="W20" s="51"/>
      <c r="X20" s="51"/>
      <c r="Y20" s="51"/>
      <c r="Z20" s="52"/>
      <c r="AA20" s="53"/>
      <c r="AB20" s="30"/>
      <c r="AC20" s="30"/>
      <c r="AD20" s="54">
        <f>_xlfn.QUARTILE.INC(AD12:AD18,1)</f>
        <v>0.5649130745415576</v>
      </c>
      <c r="AE20" s="55"/>
      <c r="AF20" s="32"/>
      <c r="AG20" s="32"/>
      <c r="AH20" s="32"/>
      <c r="AI20" s="32"/>
      <c r="AJ20" s="56"/>
      <c r="AK20" s="32"/>
      <c r="AL20" s="57"/>
      <c r="AM20" s="57"/>
      <c r="AN20" s="57"/>
      <c r="AO20" s="58">
        <f>_xlfn.QUARTILE.INC(AO12:AO18,1)</f>
        <v>0.10454624271118851</v>
      </c>
      <c r="AP20" s="58">
        <f>_xlfn.QUARTILE.INC(AP12:AP18,1)</f>
        <v>0.08500000000000008</v>
      </c>
      <c r="AQ20" s="58">
        <f>_xlfn.QUARTILE.INC(AQ12:AQ18,1)</f>
        <v>0.22949999999999998</v>
      </c>
      <c r="AR20" s="59">
        <f>_xlfn.QUARTILE.INC(AR12:AR18,1)</f>
        <v>5.314978439092748</v>
      </c>
      <c r="AS20" s="59">
        <f>_xlfn.QUARTILE.INC(AS12:AS18,1)</f>
        <v>4.603657174216764</v>
      </c>
      <c r="AT20" s="59"/>
      <c r="AU20" s="59">
        <f>_xlfn.QUARTILE.INC(AU12:AU18,1)</f>
        <v>15.790518144347338</v>
      </c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82"/>
      <c r="BJ20" s="107"/>
      <c r="BK20" s="82"/>
      <c r="BL20" s="83"/>
      <c r="BM20" s="83"/>
      <c r="BN20" s="107"/>
      <c r="BO20" s="75"/>
      <c r="BP20" s="75"/>
      <c r="BQ20" s="108"/>
      <c r="BR20" s="109"/>
      <c r="BS20" s="81"/>
      <c r="BT20" s="211"/>
    </row>
    <row r="21">
      <c r="B21" t="s" s="168">
        <v>81</v>
      </c>
      <c r="C21" s="160"/>
      <c r="D21" s="149"/>
      <c r="E21" s="169">
        <f>_xlfn.QUARTILE.INC(E12:E18,3)</f>
        <v>0.7459128449718455</v>
      </c>
      <c r="F21" s="147"/>
      <c r="G21" s="159">
        <f>_xlfn.QUARTILE.INC(G12:G18,3)</f>
        <v>0.1499999999999999</v>
      </c>
      <c r="H21" s="159">
        <f>_xlfn.QUARTILE.INC(H12:H18,3)</f>
        <v>0.37449999999999994</v>
      </c>
      <c r="I21" s="159">
        <f>_xlfn.QUARTILE.INC(I12:I18,3)</f>
        <v>0.479</v>
      </c>
      <c r="J21" s="148">
        <f>_xlfn.QUARTILE.INC(J12:J18,3)</f>
        <v>5.232885029202498</v>
      </c>
      <c r="K21" s="148">
        <f>_xlfn.QUARTILE.INC(K12:K18,3)</f>
        <v>23.39360779052229</v>
      </c>
      <c r="L21" s="159"/>
      <c r="M21" s="159"/>
      <c r="N21" s="51"/>
      <c r="O21" s="142"/>
      <c r="V21" t="s">
        <v>81</v>
      </c>
      <c r="W21" s="51"/>
      <c r="X21" s="51"/>
      <c r="Y21" s="51"/>
      <c r="Z21" s="52"/>
      <c r="AA21" s="53"/>
      <c r="AB21" s="30"/>
      <c r="AC21" s="30"/>
      <c r="AD21" s="54">
        <f>_xlfn.QUARTILE.INC(AD12:AD18,3)</f>
        <v>0.7459128449718455</v>
      </c>
      <c r="AE21" s="55"/>
      <c r="AF21" s="32"/>
      <c r="AG21" s="32"/>
      <c r="AH21" s="32"/>
      <c r="AI21" s="32"/>
      <c r="AJ21" s="56"/>
      <c r="AK21" s="32"/>
      <c r="AL21" s="57"/>
      <c r="AM21" s="57"/>
      <c r="AN21" s="57"/>
      <c r="AO21" s="58">
        <f>_xlfn.QUARTILE.INC(AO12:AO18,3)</f>
        <v>0.17365109387090638</v>
      </c>
      <c r="AP21" s="58">
        <f>_xlfn.QUARTILE.INC(AP12:AP18,3)</f>
        <v>0.1499999999999999</v>
      </c>
      <c r="AQ21" s="58">
        <f>_xlfn.QUARTILE.INC(AQ12:AQ18,3)</f>
        <v>0.37449999999999994</v>
      </c>
      <c r="AR21" s="59">
        <f>_xlfn.QUARTILE.INC(AR12:AR18,3)</f>
        <v>5.818125973503994</v>
      </c>
      <c r="AS21" s="59">
        <f>_xlfn.QUARTILE.INC(AS12:AS18,3)</f>
        <v>5.232885029202498</v>
      </c>
      <c r="AT21" s="59"/>
      <c r="AU21" s="59">
        <f>_xlfn.QUARTILE.INC(AU12:AU18,3)</f>
        <v>23.39360779052229</v>
      </c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82"/>
      <c r="BJ21" s="107"/>
      <c r="BK21" s="82"/>
      <c r="BL21" s="83"/>
      <c r="BM21" s="83"/>
      <c r="BN21" s="107"/>
      <c r="BO21" s="75"/>
      <c r="BP21" s="75"/>
      <c r="BQ21" s="108"/>
      <c r="BR21" s="109"/>
      <c r="BS21" s="81"/>
      <c r="BT21" s="211"/>
    </row>
    <row r="22">
      <c r="C22" s="160"/>
      <c r="D22" s="149"/>
      <c r="E22" s="169"/>
      <c r="F22" s="147"/>
      <c r="G22" s="159"/>
      <c r="H22" s="159"/>
      <c r="I22" s="159"/>
      <c r="J22" s="148"/>
      <c r="K22" s="148"/>
      <c r="L22" s="159"/>
      <c r="M22" s="159"/>
      <c r="N22" s="51"/>
      <c r="O22" s="142"/>
      <c r="W22" s="51"/>
      <c r="X22" s="51"/>
      <c r="Y22" s="51"/>
      <c r="Z22" s="52"/>
      <c r="AA22" s="53"/>
      <c r="AB22" s="30"/>
      <c r="AC22" s="30"/>
      <c r="AD22" s="54"/>
      <c r="AE22" s="55"/>
      <c r="AF22" s="32"/>
      <c r="AG22" s="32"/>
      <c r="AH22" s="32"/>
      <c r="AI22" s="32"/>
      <c r="AJ22" s="56"/>
      <c r="AK22" s="32"/>
      <c r="AL22" s="57"/>
      <c r="AM22" s="57"/>
      <c r="AN22" s="57"/>
      <c r="AO22" s="58"/>
      <c r="AP22" s="58"/>
      <c r="AQ22" s="58"/>
      <c r="AR22" s="59"/>
      <c r="AS22" s="59"/>
      <c r="AT22" s="59"/>
      <c r="AU22" s="59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82"/>
      <c r="BJ22" s="107"/>
      <c r="BK22" s="82"/>
      <c r="BL22" s="83"/>
      <c r="BM22" s="83"/>
      <c r="BN22" s="107"/>
      <c r="BO22" s="75"/>
      <c r="BP22" s="75"/>
      <c r="BQ22" s="108"/>
      <c r="BR22" s="109"/>
      <c r="BS22" s="81"/>
      <c r="BT22" s="211"/>
    </row>
    <row r="23">
      <c r="B23" t="s" s="60">
        <v>84</v>
      </c>
      <c r="C23" s="178"/>
      <c r="D23" s="171"/>
      <c r="E23" s="172"/>
      <c r="F23" s="173"/>
      <c r="G23" s="174"/>
      <c r="H23" s="174"/>
      <c r="I23" s="174"/>
      <c r="J23" s="175"/>
      <c r="K23" s="175"/>
      <c r="L23" s="174"/>
      <c r="M23" s="174"/>
      <c r="N23" s="61"/>
      <c r="O23" s="179"/>
      <c r="V23" t="s" s="60">
        <v>87</v>
      </c>
      <c r="W23" s="61"/>
      <c r="X23" s="61"/>
      <c r="Y23" s="61"/>
      <c r="Z23" s="62"/>
      <c r="AA23" s="63"/>
      <c r="AB23" s="64"/>
      <c r="AC23" s="64"/>
      <c r="AD23" s="65"/>
      <c r="AE23" s="66"/>
      <c r="AF23" s="67"/>
      <c r="AG23" s="67"/>
      <c r="AH23" s="67"/>
      <c r="AI23" s="67"/>
      <c r="AJ23" s="68"/>
      <c r="AK23" s="67"/>
      <c r="AL23" s="69"/>
      <c r="AM23" s="69"/>
      <c r="AN23" s="69"/>
      <c r="AO23" s="70"/>
      <c r="AP23" s="70"/>
      <c r="AQ23" s="70"/>
      <c r="AR23" s="71"/>
      <c r="AS23" s="71"/>
      <c r="AT23" s="71"/>
      <c r="AU23" s="71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82"/>
      <c r="BJ23" s="107"/>
      <c r="BK23" s="82"/>
      <c r="BL23" s="83"/>
      <c r="BM23" s="83"/>
      <c r="BN23" s="107"/>
      <c r="BO23" s="75"/>
      <c r="BP23" s="75"/>
      <c r="BQ23" s="108"/>
      <c r="BR23" s="109"/>
      <c r="BS23" s="81"/>
      <c r="BT23" s="211"/>
    </row>
    <row r="24">
      <c r="B24" t="str">
        <f>V24</f>
        <v>Veeva Systems</v>
      </c>
      <c r="C24" t="s" s="160">
        <v>186</v>
      </c>
      <c r="D24" s="149">
        <f>AB24</f>
        <v>295.75</v>
      </c>
      <c r="E24" s="169">
        <f>AD24</f>
        <v>0.9658088955652798</v>
      </c>
      <c r="F24" s="147">
        <f>AH24</f>
        <v>43423.66711625</v>
      </c>
      <c r="G24" s="159">
        <f>IF(ISNUMBER(AP24),AP24,BT24)</f>
        <v>0.1200000000000001</v>
      </c>
      <c r="H24" s="159">
        <f>AQ24</f>
        <v>0.463</v>
      </c>
      <c r="I24" s="159">
        <f>G24+H24</f>
        <v>0.5830000000000002</v>
      </c>
      <c r="J24" s="148">
        <f>AS24</f>
        <v>12.339774684924695</v>
      </c>
      <c r="K24" s="148">
        <f>AU24</f>
        <v>26.651781176943185</v>
      </c>
      <c r="L24" s="159">
        <f>G24-$D$57</f>
        <v>-0.03299999999999989</v>
      </c>
      <c r="M24" s="159">
        <f>H24-$D$58</f>
        <v>0.10342553191489362</v>
      </c>
      <c r="N24" t="str" s="51">
        <f>IF(AND(ABS(L24)&lt;=$D$60,ABS(M24)&lt;=$D$61),"Fair comp",IF(AND(I24&lt;$D$59,J24&lt;$D$62),"Flatters price","Not comparable"))</f>
        <v>Not comparable</v>
      </c>
      <c r="O24" t="s" s="142">
        <v>213</v>
      </c>
      <c r="V24" t="s">
        <v>88</v>
      </c>
      <c r="W24" t="s" s="51">
        <v>89</v>
      </c>
      <c r="X24" t="s" s="51">
        <v>90</v>
      </c>
      <c r="Y24" t="s" s="51">
        <v>67</v>
      </c>
      <c r="Z24" s="72">
        <v>295.75</v>
      </c>
      <c r="AA24" s="53">
        <f>1</f>
        <v>1</v>
      </c>
      <c r="AB24" s="30">
        <f>Z24*AA24</f>
        <v>295.75</v>
      </c>
      <c r="AC24" s="72">
        <v>306.22</v>
      </c>
      <c r="AD24" s="54">
        <f>Z24/AC24</f>
        <v>0.9658088955652798</v>
      </c>
      <c r="AE24" s="55">
        <f>(AX24+IF(BA24&lt;&gt;"",BA24,AY24-AZ24)-BB24)/10^6</f>
        <v>169.267855</v>
      </c>
      <c r="AF24" s="32">
        <f>AB24*AE24</f>
        <v>50060.96811625</v>
      </c>
      <c r="AG24" s="32">
        <f>(SUM(BC24:BF24)-BG24-BH24)/10^6*BS24</f>
        <v>-6637.301</v>
      </c>
      <c r="AH24" s="32">
        <f>AF24+AG24</f>
        <v>43423.66711625</v>
      </c>
      <c r="AI24" s="32">
        <f>IF(BK24&lt;&gt;"",BK24,BR24*1000)</f>
        <v>30889</v>
      </c>
      <c r="AJ24" s="56">
        <f>AH24/AI24-1</f>
        <v>0.405797116004079</v>
      </c>
      <c r="AK24" s="32">
        <f>(BO24*IF(BQ24&gt;=6,IF(BQ24&lt;=7,BQ24/12,1),1)+BP24*IF(BQ24&gt;=6,IF(BQ24&lt;=7,1-BQ24/12,0),0))/10^6*BS24</f>
        <v>2746.619</v>
      </c>
      <c r="AL24" s="57">
        <f>IF(BN24&lt;&gt;"",AM24/(1+BN24),"n.a.")</f>
        <v>3141.9642857142853</v>
      </c>
      <c r="AM24" s="57">
        <f>IF(BI24&lt;&gt;"",BI24,BK24/BL24)</f>
        <v>3519</v>
      </c>
      <c r="AN24" s="57">
        <f>IF(BI24&lt;&gt;"",BI24*BJ24,BK24/BM24)</f>
        <v>1629.297</v>
      </c>
      <c r="AO24" s="58">
        <f>IF(ISNUMBER(AL24),AL24/AK24-1,"n.a.")</f>
        <v>0.14393888839853108</v>
      </c>
      <c r="AP24" s="58">
        <f>IF(ISNUMBER(AL24),AM24/AL24-1,"n.a.")</f>
        <v>0.1200000000000001</v>
      </c>
      <c r="AQ24" s="58">
        <f>AN24/AM24</f>
        <v>0.463</v>
      </c>
      <c r="AR24" s="59">
        <f>IF(ISNUMBER(AL24),AH24/AL24,"n.a.")</f>
        <v>13.820547647115658</v>
      </c>
      <c r="AS24" s="59">
        <f>AH24/AM24</f>
        <v>12.339774684924695</v>
      </c>
      <c r="AT24" t="s" s="59">
        <v>68</v>
      </c>
      <c r="AU24" s="59">
        <f>AH24/AN24</f>
        <v>26.651781176943185</v>
      </c>
      <c r="AX24" s="74">
        <v>164381855</v>
      </c>
      <c r="AY24" s="74">
        <v>168935000</v>
      </c>
      <c r="AZ24" s="74">
        <v>164049000</v>
      </c>
      <c r="BA24" s="75"/>
      <c r="BB24" s="75"/>
      <c r="BC24" s="75"/>
      <c r="BD24" s="75"/>
      <c r="BE24" s="75"/>
      <c r="BF24" s="75"/>
      <c r="BG24" s="74">
        <v>1660137000</v>
      </c>
      <c r="BH24" s="74">
        <v>4977164000</v>
      </c>
      <c r="BI24" s="76">
        <v>3519</v>
      </c>
      <c r="BJ24" s="77">
        <v>0.463</v>
      </c>
      <c r="BK24" s="76">
        <v>30889</v>
      </c>
      <c r="BL24" s="78">
        <v>8.8</v>
      </c>
      <c r="BM24" s="78">
        <v>19.3</v>
      </c>
      <c r="BN24" s="77">
        <v>0.12</v>
      </c>
      <c r="BO24" s="74">
        <v>2746619000</v>
      </c>
      <c r="BP24" s="75"/>
      <c r="BQ24" s="79">
        <v>1</v>
      </c>
      <c r="BR24" s="80">
        <v>30.7</v>
      </c>
      <c r="BS24" s="81">
        <f>1</f>
        <v>1</v>
      </c>
      <c r="BT24" s="211">
        <v>0.121</v>
      </c>
    </row>
    <row r="25">
      <c r="B25" t="str">
        <f>V25</f>
        <v>Nemetschek</v>
      </c>
      <c r="C25" t="s" s="160">
        <v>188</v>
      </c>
      <c r="D25" s="149">
        <f>AB25</f>
        <v>107.25305000000002</v>
      </c>
      <c r="E25" s="169">
        <f>AD25</f>
        <v>0.6746550472040669</v>
      </c>
      <c r="F25" s="147">
        <f>AH25</f>
        <v>12589.310477980052</v>
      </c>
      <c r="G25" s="159">
        <f>IF(ISNUMBER(AP25),AP25,BT25)</f>
        <v>0.1299999999999999</v>
      </c>
      <c r="H25" s="159">
        <f>AQ25</f>
        <v>0.3228346456692913</v>
      </c>
      <c r="I25" s="159">
        <f>G25+H25</f>
        <v>0.4528346456692912</v>
      </c>
      <c r="J25" s="148">
        <f>AS25</f>
        <v>7.963615360598351</v>
      </c>
      <c r="K25" s="148">
        <f>AU25</f>
        <v>24.66778416575587</v>
      </c>
      <c r="L25" s="159">
        <f>G25-$D$57</f>
        <v>-0.023000000000000104</v>
      </c>
      <c r="M25" s="159">
        <f>H25-$D$58</f>
        <v>-0.03673982241581508</v>
      </c>
      <c r="N25" t="str" s="51">
        <f>IF(AND(ABS(L25)&lt;=$D$60,ABS(M25)&lt;=$D$61),"Fair comp",IF(AND(I25&lt;$D$59,J25&lt;$D$62),"Flatters price","Not comparable"))</f>
        <v>Fair comp</v>
      </c>
      <c r="O25" t="s" s="142">
        <v>214</v>
      </c>
      <c r="V25" t="s">
        <v>91</v>
      </c>
      <c r="W25" t="s" s="51">
        <v>92</v>
      </c>
      <c r="X25" t="s" s="51">
        <v>71</v>
      </c>
      <c r="Y25" t="s" s="51">
        <v>67</v>
      </c>
      <c r="Z25" s="72">
        <v>92.9</v>
      </c>
      <c r="AA25" s="53">
        <f>$X$79</f>
        <v>1.1545</v>
      </c>
      <c r="AB25" s="30">
        <f>Z25*AA25</f>
        <v>107.25305000000002</v>
      </c>
      <c r="AC25" s="72">
        <v>137.7</v>
      </c>
      <c r="AD25" s="54">
        <f>Z25/AC25</f>
        <v>0.6746550472040669</v>
      </c>
      <c r="AE25" s="55">
        <f>(AX25+IF(BA25&lt;&gt;"",BA25,AY25-AZ25)-BB25)/10^6</f>
        <v>115.466141</v>
      </c>
      <c r="AF25" s="32">
        <f>AB25*AE25</f>
        <v>12384.095793980052</v>
      </c>
      <c r="AG25" s="32">
        <f>(SUM(BC25:BF25)-BG25-BH25)/10^6*BS25</f>
        <v>205.21468400000003</v>
      </c>
      <c r="AH25" s="32">
        <f>AF25+AG25</f>
        <v>12589.310477980052</v>
      </c>
      <c r="AI25" s="32">
        <f>IF(BK25&lt;&gt;"",BK25,BR25*1000)</f>
        <v>12963</v>
      </c>
      <c r="AJ25" s="56">
        <f>AH25/AI25-1</f>
        <v>-0.028827395048981574</v>
      </c>
      <c r="AK25" s="32">
        <f>(BO25*IF(BQ25&gt;=6,IF(BQ25&lt;=7,BQ25/12,1),1)+BP25*IF(BQ25&gt;=6,IF(BQ25&lt;=7,1-BQ25/12,0),0))/10^6*BS25</f>
        <v>1149.3797925000001</v>
      </c>
      <c r="AL25" s="57">
        <f>IF(BN25&lt;&gt;"",AM25/(1+BN25),"n.a.")</f>
        <v>1398.9855385279518</v>
      </c>
      <c r="AM25" s="57">
        <f>IF(BI25&lt;&gt;"",BI25,BK25/BL25)</f>
        <v>1580.8536585365855</v>
      </c>
      <c r="AN25" s="57">
        <f>IF(BI25&lt;&gt;"",BI25*BJ25,BK25/BM25)</f>
        <v>510.35433070866145</v>
      </c>
      <c r="AO25" s="58">
        <f>IF(ISNUMBER(AL25),AL25/AK25-1,"n.a.")</f>
        <v>0.21716559457256301</v>
      </c>
      <c r="AP25" s="58">
        <f>IF(ISNUMBER(AL25),AM25/AL25-1,"n.a.")</f>
        <v>0.1299999999999999</v>
      </c>
      <c r="AQ25" s="58">
        <f>AN25/AM25</f>
        <v>0.3228346456692913</v>
      </c>
      <c r="AR25" s="59">
        <f>IF(ISNUMBER(AL25),AH25/AL25,"n.a.")</f>
        <v>8.998885357476135</v>
      </c>
      <c r="AS25" s="59">
        <f>AH25/AM25</f>
        <v>7.963615360598351</v>
      </c>
      <c r="AT25" t="s" s="59">
        <v>68</v>
      </c>
      <c r="AU25" s="59">
        <f>AH25/AN25</f>
        <v>24.66778416575587</v>
      </c>
      <c r="AX25" s="74">
        <v>115466141</v>
      </c>
      <c r="AY25" s="74">
        <v>115478620</v>
      </c>
      <c r="AZ25" s="74">
        <v>115478620</v>
      </c>
      <c r="BA25" s="75"/>
      <c r="BB25" s="75"/>
      <c r="BC25" s="75"/>
      <c r="BD25" s="75"/>
      <c r="BE25" s="74">
        <v>449516000</v>
      </c>
      <c r="BF25" s="74">
        <v>35734000</v>
      </c>
      <c r="BG25" s="74">
        <v>307498000</v>
      </c>
      <c r="BH25" s="75"/>
      <c r="BI25" s="82"/>
      <c r="BJ25" s="107"/>
      <c r="BK25" s="76">
        <v>12963</v>
      </c>
      <c r="BL25" s="78">
        <v>8.2</v>
      </c>
      <c r="BM25" s="78">
        <v>25.4</v>
      </c>
      <c r="BN25" s="77">
        <v>0.13</v>
      </c>
      <c r="BO25" s="74">
        <v>995565000</v>
      </c>
      <c r="BP25" s="75"/>
      <c r="BQ25" s="79">
        <v>12</v>
      </c>
      <c r="BR25" s="109"/>
      <c r="BS25" s="81">
        <f>$X$79</f>
        <v>1.1545</v>
      </c>
      <c r="BT25" s="211"/>
    </row>
    <row r="26">
      <c r="B26" t="str">
        <f>V26</f>
        <v>Bentley Systems</v>
      </c>
      <c r="C26" t="s" s="160">
        <v>188</v>
      </c>
      <c r="D26" s="149">
        <f>AB26</f>
        <v>46.32</v>
      </c>
      <c r="E26" s="169">
        <f>AD26</f>
        <v>0.7888283378746594</v>
      </c>
      <c r="F26" s="147">
        <f>AH26</f>
        <v>15197.13048208</v>
      </c>
      <c r="G26" s="159">
        <f>IF(ISNUMBER(AP26),AP26,BT26)</f>
        <v>0.1100000000000001</v>
      </c>
      <c r="H26" s="159">
        <f>AQ26</f>
        <v>0.3632286995515695</v>
      </c>
      <c r="I26" s="159">
        <f>G26+H26</f>
        <v>0.4732286995515696</v>
      </c>
      <c r="J26" s="148">
        <f>AS26</f>
        <v>9.252612515397473</v>
      </c>
      <c r="K26" s="148">
        <f>AU26</f>
        <v>25.47324186337823</v>
      </c>
      <c r="L26" s="159">
        <f>G26-$D$57</f>
        <v>-0.0429999999999999</v>
      </c>
      <c r="M26" s="159">
        <f>H26-$D$58</f>
        <v>0.003654231466463098</v>
      </c>
      <c r="N26" t="str" s="51">
        <f>IF(AND(ABS(L26)&lt;=$D$60,ABS(M26)&lt;=$D$61),"Fair comp",IF(AND(I26&lt;$D$59,J26&lt;$D$62),"Flatters price","Not comparable"))</f>
        <v>Fair comp</v>
      </c>
      <c r="O26" t="s" s="142">
        <v>215</v>
      </c>
      <c r="V26" t="s">
        <v>93</v>
      </c>
      <c r="W26" t="s" s="51">
        <v>94</v>
      </c>
      <c r="X26" t="s" s="51">
        <v>71</v>
      </c>
      <c r="Y26" t="s" s="51">
        <v>67</v>
      </c>
      <c r="Z26" s="72">
        <v>46.32</v>
      </c>
      <c r="AA26" s="53">
        <f>1</f>
        <v>1</v>
      </c>
      <c r="AB26" s="30">
        <f>Z26*AA26</f>
        <v>46.32</v>
      </c>
      <c r="AC26" s="73">
        <v>58.72</v>
      </c>
      <c r="AD26" s="54">
        <f>Z26/AC26</f>
        <v>0.7888283378746594</v>
      </c>
      <c r="AE26" s="55">
        <f>(AX26+IF(BA26&lt;&gt;"",BA26,AY26-AZ26)-BB26)/10^6</f>
        <v>304.730494</v>
      </c>
      <c r="AF26" s="32">
        <f>AB26*AE26</f>
        <v>14115.11648208</v>
      </c>
      <c r="AG26" s="32">
        <f>(SUM(BC26:BF26)-BG26-BH26)/10^6*BS26</f>
        <v>1082.014</v>
      </c>
      <c r="AH26" s="32">
        <f>AF26+AG26</f>
        <v>15197.13048208</v>
      </c>
      <c r="AI26" s="32">
        <f>IF(BK26&lt;&gt;"",BK26,BR26*1000)</f>
        <v>13304</v>
      </c>
      <c r="AJ26" s="56">
        <f>AH26/AI26-1</f>
        <v>0.14229784140709567</v>
      </c>
      <c r="AK26" s="32">
        <f>(BO26*IF(BQ26&gt;=6,IF(BQ26&lt;=7,BQ26/12,1),1)+BP26*IF(BQ26&gt;=6,IF(BQ26&lt;=7,1-BQ26/12,0),0))/10^6*BS26</f>
        <v>1353.095</v>
      </c>
      <c r="AL26" s="57">
        <f>IF(BN26&lt;&gt;"",AM26/(1+BN26),"n.a.")</f>
        <v>1479.7019241463686</v>
      </c>
      <c r="AM26" s="57">
        <f>IF(BI26&lt;&gt;"",BI26,BK26/BL26)</f>
        <v>1642.4691358024693</v>
      </c>
      <c r="AN26" s="57">
        <f>IF(BI26&lt;&gt;"",BI26*BJ26,BK26/BM26)</f>
        <v>596.5919282511211</v>
      </c>
      <c r="AO26" s="58">
        <f>IF(ISNUMBER(AL26),AL26/AK26-1,"n.a.")</f>
        <v>0.09356839257137795</v>
      </c>
      <c r="AP26" s="58">
        <f>IF(ISNUMBER(AL26),AM26/AL26-1,"n.a.")</f>
        <v>0.1100000000000001</v>
      </c>
      <c r="AQ26" s="58">
        <f>AN26/AM26</f>
        <v>0.3632286995515695</v>
      </c>
      <c r="AR26" s="59">
        <f>IF(ISNUMBER(AL26),AH26/AL26,"n.a.")</f>
        <v>10.270399892091197</v>
      </c>
      <c r="AS26" s="59">
        <f>AH26/AM26</f>
        <v>9.252612515397473</v>
      </c>
      <c r="AT26" t="s" s="59">
        <v>68</v>
      </c>
      <c r="AU26" s="59">
        <f>AH26/AN26</f>
        <v>25.47324186337823</v>
      </c>
      <c r="AX26" s="74">
        <v>303557068</v>
      </c>
      <c r="AY26" s="74">
        <v>333277478</v>
      </c>
      <c r="AZ26" s="74">
        <v>314626191</v>
      </c>
      <c r="BA26" s="75"/>
      <c r="BB26" s="74">
        <v>17477861</v>
      </c>
      <c r="BC26" s="75"/>
      <c r="BD26" s="75"/>
      <c r="BE26" s="74">
        <v>1247378000</v>
      </c>
      <c r="BF26" s="74">
        <v>47000</v>
      </c>
      <c r="BG26" s="74">
        <v>165411000</v>
      </c>
      <c r="BH26" s="75"/>
      <c r="BI26" s="82"/>
      <c r="BJ26" s="107"/>
      <c r="BK26" s="76">
        <v>13304</v>
      </c>
      <c r="BL26" s="78">
        <v>8.1</v>
      </c>
      <c r="BM26" s="78">
        <v>22.3</v>
      </c>
      <c r="BN26" s="77">
        <v>0.11</v>
      </c>
      <c r="BO26" s="74">
        <v>1353095000</v>
      </c>
      <c r="BP26" s="75"/>
      <c r="BQ26" s="79">
        <v>12</v>
      </c>
      <c r="BR26" s="109"/>
      <c r="BS26" s="81">
        <f>1</f>
        <v>1</v>
      </c>
      <c r="BT26" s="211"/>
    </row>
    <row r="27">
      <c r="B27" t="str">
        <f>V27</f>
        <v>Procore Technologies</v>
      </c>
      <c r="C27" t="s" s="160">
        <v>186</v>
      </c>
      <c r="D27" s="149">
        <f>AB27</f>
        <v>79.16</v>
      </c>
      <c r="E27" s="169">
        <f>AD27</f>
        <v>0.8961847616891203</v>
      </c>
      <c r="F27" s="147">
        <f>AH27</f>
        <v>11623.0181176</v>
      </c>
      <c r="G27" s="159">
        <f>IF(ISNUMBER(AP27),AP27,BT27)</f>
        <v>0.1200000000000001</v>
      </c>
      <c r="H27" s="159">
        <f>AQ27</f>
        <v>0.244</v>
      </c>
      <c r="I27" s="159">
        <f>G27+H27</f>
        <v>0.3640000000000001</v>
      </c>
      <c r="J27" s="148">
        <f>AS27</f>
        <v>7.928388893315144</v>
      </c>
      <c r="K27" s="148">
        <f>AU27</f>
        <v>32.49339710375059</v>
      </c>
      <c r="L27" s="159">
        <f>G27-$D$57</f>
        <v>-0.03299999999999989</v>
      </c>
      <c r="M27" s="159">
        <f>H27-$D$58</f>
        <v>-0.11557446808510641</v>
      </c>
      <c r="N27" t="str" s="51">
        <f>IF(AND(ABS(L27)&lt;=$D$60,ABS(M27)&lt;=$D$61),"Fair comp",IF(AND(I27&lt;$D$59,J27&lt;$D$62),"Flatters price","Not comparable"))</f>
        <v>Flatters price</v>
      </c>
      <c r="O27" t="s" s="142">
        <v>216</v>
      </c>
      <c r="V27" t="s">
        <v>95</v>
      </c>
      <c r="W27" t="s" s="51">
        <v>96</v>
      </c>
      <c r="X27" t="s" s="51">
        <v>90</v>
      </c>
      <c r="Y27" t="s" s="51">
        <v>67</v>
      </c>
      <c r="Z27" s="72">
        <v>79.16</v>
      </c>
      <c r="AA27" s="53">
        <f>1</f>
        <v>1</v>
      </c>
      <c r="AB27" s="30">
        <f>Z27*AA27</f>
        <v>79.16</v>
      </c>
      <c r="AC27" s="73">
        <v>88.33</v>
      </c>
      <c r="AD27" s="54">
        <f>Z27/AC27</f>
        <v>0.8961847616891203</v>
      </c>
      <c r="AE27" s="55">
        <f>(AX27+IF(BA27&lt;&gt;"",BA27,AY27-AZ27)-BB27)/10^6</f>
        <v>155.46986</v>
      </c>
      <c r="AF27" s="32">
        <f>AB27*AE27</f>
        <v>12306.994117600001</v>
      </c>
      <c r="AG27" s="32">
        <f>(SUM(BC27:BF27)-BG27-BH27)/10^6*BS27</f>
        <v>-683.976</v>
      </c>
      <c r="AH27" s="32">
        <f>AF27+AG27</f>
        <v>11623.0181176</v>
      </c>
      <c r="AI27" s="32">
        <f>IF(BK27&lt;&gt;"",BK27,BR27*1000)</f>
        <v>11588</v>
      </c>
      <c r="AJ27" s="56">
        <f>AH27/AI27-1</f>
        <v>0.003021929375215837</v>
      </c>
      <c r="AK27" s="32">
        <f>(BO27*IF(BQ27&gt;=6,IF(BQ27&lt;=7,BQ27/12,1),1)+BP27*IF(BQ27&gt;=6,IF(BQ27&lt;=7,1-BQ27/12,0),0))/10^6*BS27</f>
        <v>1151.708</v>
      </c>
      <c r="AL27" s="57">
        <f>IF(BN27&lt;&gt;"",AM27/(1+BN27),"n.a.")</f>
        <v>1308.9285714285713</v>
      </c>
      <c r="AM27" s="57">
        <f>IF(BI27&lt;&gt;"",BI27,BK27/BL27)</f>
        <v>1466</v>
      </c>
      <c r="AN27" s="57">
        <f>IF(BI27&lt;&gt;"",BI27*BJ27,BK27/BM27)</f>
        <v>357.704</v>
      </c>
      <c r="AO27" s="58">
        <f>IF(ISNUMBER(AL27),AL27/AK27-1,"n.a.")</f>
        <v>0.13651079217003903</v>
      </c>
      <c r="AP27" s="58">
        <f>IF(ISNUMBER(AL27),AM27/AL27-1,"n.a.")</f>
        <v>0.1200000000000001</v>
      </c>
      <c r="AQ27" s="58">
        <f>AN27/AM27</f>
        <v>0.244</v>
      </c>
      <c r="AR27" s="59">
        <f>IF(ISNUMBER(AL27),AH27/AL27,"n.a.")</f>
        <v>8.879795560512962</v>
      </c>
      <c r="AS27" s="59">
        <f>AH27/AM27</f>
        <v>7.928388893315144</v>
      </c>
      <c r="AT27" t="s" s="59">
        <v>68</v>
      </c>
      <c r="AU27" s="59">
        <f>AH27/AN27</f>
        <v>32.49339710375059</v>
      </c>
      <c r="AX27" s="74">
        <v>155469860</v>
      </c>
      <c r="AY27" s="74">
        <v>150278399</v>
      </c>
      <c r="AZ27" s="74">
        <v>150278399</v>
      </c>
      <c r="BA27" s="75"/>
      <c r="BB27" s="75"/>
      <c r="BC27" s="75"/>
      <c r="BD27" s="75"/>
      <c r="BE27" s="75"/>
      <c r="BF27" s="75"/>
      <c r="BG27" s="74">
        <v>350496000</v>
      </c>
      <c r="BH27" s="74">
        <v>333480000</v>
      </c>
      <c r="BI27" s="76">
        <v>1466</v>
      </c>
      <c r="BJ27" s="77">
        <v>0.244</v>
      </c>
      <c r="BK27" s="76">
        <v>11588</v>
      </c>
      <c r="BL27" s="78">
        <v>7.9</v>
      </c>
      <c r="BM27" s="78">
        <v>32.3</v>
      </c>
      <c r="BN27" s="77">
        <v>0.12</v>
      </c>
      <c r="BO27" s="74">
        <v>1151708000</v>
      </c>
      <c r="BP27" s="75"/>
      <c r="BQ27" s="79">
        <v>12</v>
      </c>
      <c r="BR27" s="80">
        <v>11.6</v>
      </c>
      <c r="BS27" s="81">
        <f>1</f>
        <v>1</v>
      </c>
      <c r="BT27" s="211">
        <v>0.12</v>
      </c>
    </row>
    <row r="28">
      <c r="B28" t="str">
        <f>V28</f>
        <v>Cellebrite</v>
      </c>
      <c r="C28" t="s" s="160">
        <v>188</v>
      </c>
      <c r="D28" s="149">
        <f>AB28</f>
        <v>15.61</v>
      </c>
      <c r="E28" s="169">
        <f>AD28</f>
        <v>0.6003846153846154</v>
      </c>
      <c r="F28" s="147">
        <f>AH28</f>
        <v>3387.4030497599997</v>
      </c>
      <c r="G28" s="159">
        <f>IF(ISNUMBER(AP28),AP28,BT28)</f>
        <v>0.16999999999999993</v>
      </c>
      <c r="H28" s="159">
        <f>AQ28</f>
        <v>0.27241379310344827</v>
      </c>
      <c r="I28" s="159">
        <f>G28+H28</f>
        <v>0.4424137931034482</v>
      </c>
      <c r="J28" s="148">
        <f>AS28</f>
        <v>6.123680570504348</v>
      </c>
      <c r="K28" s="148">
        <f>AU28</f>
        <v>22.479333739826085</v>
      </c>
      <c r="L28" s="159">
        <f>G28-$D$57</f>
        <v>0.016999999999999932</v>
      </c>
      <c r="M28" s="159">
        <f>H28-$D$58</f>
        <v>-0.08716067498165814</v>
      </c>
      <c r="N28" t="str" s="51">
        <f>IF(AND(ABS(L28)&lt;=$D$60,ABS(M28)&lt;=$D$61),"Fair comp",IF(AND(I28&lt;$D$59,J28&lt;$D$62),"Flatters price","Not comparable"))</f>
        <v>Fair comp</v>
      </c>
      <c r="O28" t="s" s="142">
        <v>217</v>
      </c>
      <c r="V28" t="s">
        <v>97</v>
      </c>
      <c r="W28" t="s" s="51">
        <v>98</v>
      </c>
      <c r="X28" t="s" s="51">
        <v>71</v>
      </c>
      <c r="Y28" t="s" s="51">
        <v>67</v>
      </c>
      <c r="Z28" s="72">
        <v>15.61</v>
      </c>
      <c r="AA28" s="53">
        <f>1</f>
        <v>1</v>
      </c>
      <c r="AB28" s="30">
        <f>Z28*AA28</f>
        <v>15.61</v>
      </c>
      <c r="AC28" s="73">
        <v>26</v>
      </c>
      <c r="AD28" s="54">
        <f>Z28/AC28</f>
        <v>0.6003846153846154</v>
      </c>
      <c r="AE28" s="55">
        <f>(AX28+IF(BA28&lt;&gt;"",BA28,AY28-AZ28)-BB28)/10^6</f>
        <v>250.680016</v>
      </c>
      <c r="AF28" s="32">
        <f>AB28*AE28</f>
        <v>3913.1150497599997</v>
      </c>
      <c r="AG28" s="32">
        <f>(SUM(BC28:BF28)-BG28-BH28)/10^6*BS28</f>
        <v>-525.712</v>
      </c>
      <c r="AH28" s="32">
        <f>AF28+AG28</f>
        <v>3387.4030497599997</v>
      </c>
      <c r="AI28" s="32">
        <f>IF(BK28&lt;&gt;"",BK28,BR28*1000)</f>
        <v>4370</v>
      </c>
      <c r="AJ28" s="56">
        <f>AH28/AI28-1</f>
        <v>-0.22485056069565224</v>
      </c>
      <c r="AK28" s="32">
        <f>(BO28*IF(BQ28&gt;=6,IF(BQ28&lt;=7,BQ28/12,1),1)+BP28*IF(BQ28&gt;=6,IF(BQ28&lt;=7,1-BQ28/12,0),0))/10^6*BS28</f>
        <v>401.203</v>
      </c>
      <c r="AL28" s="57">
        <f>IF(BN28&lt;&gt;"",AM28/(1+BN28),"n.a.")</f>
        <v>472.79021962566264</v>
      </c>
      <c r="AM28" s="57">
        <f>IF(BI28&lt;&gt;"",BI28,BK28/BL28)</f>
        <v>553.1645569620252</v>
      </c>
      <c r="AN28" s="57">
        <f>IF(BI28&lt;&gt;"",BI28*BJ28,BK28/BM28)</f>
        <v>150.68965517241378</v>
      </c>
      <c r="AO28" s="58">
        <f>IF(ISNUMBER(AL28),AL28/AK28-1,"n.a.")</f>
        <v>0.1784314165787959</v>
      </c>
      <c r="AP28" s="58">
        <f>IF(ISNUMBER(AL28),AM28/AL28-1,"n.a.")</f>
        <v>0.16999999999999993</v>
      </c>
      <c r="AQ28" s="58">
        <f>AN28/AM28</f>
        <v>0.27241379310344827</v>
      </c>
      <c r="AR28" s="59">
        <f>IF(ISNUMBER(AL28),AH28/AL28,"n.a.")</f>
        <v>7.164706267490087</v>
      </c>
      <c r="AS28" s="59">
        <f>AH28/AM28</f>
        <v>6.123680570504348</v>
      </c>
      <c r="AT28" t="s" s="59">
        <v>68</v>
      </c>
      <c r="AU28" s="59">
        <f>AH28/AN28</f>
        <v>22.479333739826085</v>
      </c>
      <c r="AX28" s="74">
        <v>244469106</v>
      </c>
      <c r="AY28" s="74">
        <v>249719713</v>
      </c>
      <c r="AZ28" s="74">
        <v>243508803</v>
      </c>
      <c r="BA28" s="75"/>
      <c r="BB28" s="75"/>
      <c r="BC28" s="75"/>
      <c r="BD28" s="75"/>
      <c r="BE28" s="75"/>
      <c r="BF28" s="75"/>
      <c r="BG28" s="74">
        <v>281361000</v>
      </c>
      <c r="BH28" s="74">
        <v>244351000</v>
      </c>
      <c r="BI28" s="82"/>
      <c r="BJ28" s="107"/>
      <c r="BK28" s="76">
        <v>4370</v>
      </c>
      <c r="BL28" s="78">
        <v>7.9</v>
      </c>
      <c r="BM28" s="78">
        <v>29</v>
      </c>
      <c r="BN28" s="77">
        <v>0.17</v>
      </c>
      <c r="BO28" s="74">
        <v>401203000</v>
      </c>
      <c r="BP28" s="75"/>
      <c r="BQ28" s="79">
        <v>12</v>
      </c>
      <c r="BR28" s="109"/>
      <c r="BS28" s="81">
        <f>1</f>
        <v>1</v>
      </c>
      <c r="BT28" s="211"/>
    </row>
    <row r="29">
      <c r="B29" t="str">
        <f>V29</f>
        <v>Tyler Technologies</v>
      </c>
      <c r="C29" t="s" s="160">
        <v>20</v>
      </c>
      <c r="D29" s="149">
        <f>AB29</f>
        <v>464.48</v>
      </c>
      <c r="E29" s="169">
        <f>AD29</f>
        <v>0.7181865973961716</v>
      </c>
      <c r="F29" s="147">
        <f>AH29</f>
        <v>19958.60062144</v>
      </c>
      <c r="G29" s="159">
        <f>IF(ISNUMBER(AP29),AP29,BT29)</f>
        <v>0.10000000000000009</v>
      </c>
      <c r="H29" s="159">
        <f>AQ29</f>
        <v>0.291</v>
      </c>
      <c r="I29" s="159">
        <f>G29+H29</f>
        <v>0.39100000000000007</v>
      </c>
      <c r="J29" s="148">
        <f>AS29</f>
        <v>7.80547540924521</v>
      </c>
      <c r="K29" s="148">
        <f>AU29</f>
        <v>26.822939550670824</v>
      </c>
      <c r="L29" s="159">
        <f>G29-$D$57</f>
        <v>-0.05299999999999991</v>
      </c>
      <c r="M29" s="159">
        <f>H29-$D$58</f>
        <v>-0.06857446808510642</v>
      </c>
      <c r="N29" t="str" s="51">
        <f>IF(AND(ABS(L29)&lt;=$D$60,ABS(M29)&lt;=$D$61),"Fair comp",IF(AND(I29&lt;$D$59,J29&lt;$D$62),"Flatters price","Not comparable"))</f>
        <v>Flatters price</v>
      </c>
      <c r="O29" t="s" s="142">
        <v>218</v>
      </c>
      <c r="V29" t="s">
        <v>99</v>
      </c>
      <c r="W29" t="s" s="51">
        <v>100</v>
      </c>
      <c r="X29" t="s" s="51">
        <v>90</v>
      </c>
      <c r="Y29" t="s" s="51">
        <v>71</v>
      </c>
      <c r="Z29" s="72">
        <v>464.48</v>
      </c>
      <c r="AA29" s="53">
        <f>1</f>
        <v>1</v>
      </c>
      <c r="AB29" s="30">
        <f>Z29*AA29</f>
        <v>464.48</v>
      </c>
      <c r="AC29" s="73">
        <v>646.74</v>
      </c>
      <c r="AD29" s="54">
        <f>Z29/AC29</f>
        <v>0.7181865973961716</v>
      </c>
      <c r="AE29" s="55">
        <f>(AX29+IF(BA29&lt;&gt;"",BA29,AY29-AZ29)-BB29)/10^6</f>
        <v>43.726728</v>
      </c>
      <c r="AF29" s="32">
        <f>AB29*AE29</f>
        <v>20310.19062144</v>
      </c>
      <c r="AG29" s="32">
        <f>(SUM(BC29:BF29)-BG29-BH29)/10^6*BS29</f>
        <v>-351.59</v>
      </c>
      <c r="AH29" s="32">
        <f>AF29+AG29</f>
        <v>19958.60062144</v>
      </c>
      <c r="AI29" s="32">
        <f>IF(BK29&lt;&gt;"",BK29,BR29*1000)</f>
        <v>19800</v>
      </c>
      <c r="AJ29" s="56">
        <f>AH29/AI29-1</f>
        <v>0.008010132395959602</v>
      </c>
      <c r="AK29" s="32">
        <f>(BO29*IF(BQ29&gt;=6,IF(BQ29&lt;=7,BQ29/12,1),1)+BP29*IF(BQ29&gt;=6,IF(BQ29&lt;=7,1-BQ29/12,0),0))/10^6*BS29</f>
        <v>2137.803</v>
      </c>
      <c r="AL29" s="57">
        <f>IF(BN29&lt;&gt;"",AM29/(1+BN29),"n.a.")</f>
        <v>2324.5454545454545</v>
      </c>
      <c r="AM29" s="57">
        <f>IF(BI29&lt;&gt;"",BI29,BK29/BL29)</f>
        <v>2557</v>
      </c>
      <c r="AN29" s="57">
        <f>IF(BI29&lt;&gt;"",BI29*BJ29,BK29/BM29)</f>
        <v>744.087</v>
      </c>
      <c r="AO29" s="58">
        <f>IF(ISNUMBER(AL29),AL29/AK29-1,"n.a.")</f>
        <v>0.0873525084142246</v>
      </c>
      <c r="AP29" s="58">
        <f>IF(ISNUMBER(AL29),AM29/AL29-1,"n.a.")</f>
        <v>0.10000000000000009</v>
      </c>
      <c r="AQ29" s="58">
        <f>AN29/AM29</f>
        <v>0.291</v>
      </c>
      <c r="AR29" s="59">
        <f>IF(ISNUMBER(AL29),AH29/AL29,"n.a.")</f>
        <v>8.586022950169731</v>
      </c>
      <c r="AS29" s="59">
        <f>AH29/AM29</f>
        <v>7.80547540924521</v>
      </c>
      <c r="AT29" t="s" s="59">
        <v>68</v>
      </c>
      <c r="AU29" s="59">
        <f>AH29/AN29</f>
        <v>26.822939550670824</v>
      </c>
      <c r="AX29" s="74">
        <v>43027728</v>
      </c>
      <c r="AY29" s="74">
        <v>43834000</v>
      </c>
      <c r="AZ29" s="74">
        <v>43135000</v>
      </c>
      <c r="BA29" s="75"/>
      <c r="BB29" s="75"/>
      <c r="BC29" s="74">
        <v>599231000</v>
      </c>
      <c r="BD29" s="75"/>
      <c r="BE29" s="75"/>
      <c r="BF29" s="75"/>
      <c r="BG29" s="74">
        <v>834101000</v>
      </c>
      <c r="BH29" s="74">
        <v>116720000</v>
      </c>
      <c r="BI29" s="76">
        <v>2557</v>
      </c>
      <c r="BJ29" s="77">
        <v>0.291</v>
      </c>
      <c r="BK29" s="82"/>
      <c r="BL29" s="83"/>
      <c r="BM29" s="83"/>
      <c r="BN29" s="77">
        <v>0.1</v>
      </c>
      <c r="BO29" s="74">
        <v>2137803000</v>
      </c>
      <c r="BP29" s="75"/>
      <c r="BQ29" s="79">
        <v>12</v>
      </c>
      <c r="BR29" s="80">
        <v>19.8</v>
      </c>
      <c r="BS29" s="81">
        <f>1</f>
        <v>1</v>
      </c>
      <c r="BT29" s="211">
        <v>0.094</v>
      </c>
    </row>
    <row r="30">
      <c r="B30" t="str">
        <f>V30</f>
        <v>AppFolio</v>
      </c>
      <c r="C30" t="s" s="160">
        <v>188</v>
      </c>
      <c r="D30" s="149">
        <f>AB30</f>
        <v>254.96</v>
      </c>
      <c r="E30" s="169">
        <f>AD30</f>
        <v>0.7936498054474709</v>
      </c>
      <c r="F30" s="147">
        <f>AH30</f>
        <v>9052.6986952</v>
      </c>
      <c r="G30" s="159">
        <f>IF(ISNUMBER(AP30),AP30,BT30)</f>
        <v>0.17999999999999994</v>
      </c>
      <c r="H30" s="159">
        <f>AQ30</f>
        <v>0.2788104089219331</v>
      </c>
      <c r="I30" s="159">
        <f>G30+H30</f>
        <v>0.45881040892193303</v>
      </c>
      <c r="J30" s="148">
        <f>AS30</f>
        <v>8.091436087951378</v>
      </c>
      <c r="K30" s="148">
        <f>AU30</f>
        <v>29.02128410211894</v>
      </c>
      <c r="L30" s="159">
        <f>G30-$D$57</f>
        <v>0.02699999999999994</v>
      </c>
      <c r="M30" s="159">
        <f>H30-$D$58</f>
        <v>-0.08076405916317331</v>
      </c>
      <c r="N30" t="str" s="51">
        <f>IF(AND(ABS(L30)&lt;=$D$60,ABS(M30)&lt;=$D$61),"Fair comp",IF(AND(I30&lt;$D$59,J30&lt;$D$62),"Flatters price","Not comparable"))</f>
        <v>Fair comp</v>
      </c>
      <c r="O30" t="s" s="142">
        <v>219</v>
      </c>
      <c r="V30" t="s">
        <v>102</v>
      </c>
      <c r="W30" t="s" s="51">
        <v>103</v>
      </c>
      <c r="X30" t="s" s="51">
        <v>71</v>
      </c>
      <c r="Y30" t="s" s="51">
        <v>67</v>
      </c>
      <c r="Z30" s="72">
        <v>254.96</v>
      </c>
      <c r="AA30" s="53">
        <f>1</f>
        <v>1</v>
      </c>
      <c r="AB30" s="30">
        <f>Z30*AA30</f>
        <v>254.96</v>
      </c>
      <c r="AC30" s="73">
        <v>321.25</v>
      </c>
      <c r="AD30" s="54">
        <f>Z30/AC30</f>
        <v>0.7936498054474709</v>
      </c>
      <c r="AE30" s="55">
        <f>(AX30+IF(BA30&lt;&gt;"",BA30,AY30-AZ30)-BB30)/10^6</f>
        <v>36.29137</v>
      </c>
      <c r="AF30" s="32">
        <f>AB30*AE30</f>
        <v>9252.8476952</v>
      </c>
      <c r="AG30" s="32">
        <f>(SUM(BC30:BF30)-BG30-BH30)/10^6*BS30</f>
        <v>-200.149</v>
      </c>
      <c r="AH30" s="32">
        <f>AF30+AG30</f>
        <v>9052.6986952</v>
      </c>
      <c r="AI30" s="32">
        <f>IF(BK30&lt;&gt;"",BK30,BR30*1000)</f>
        <v>8391</v>
      </c>
      <c r="AJ30" s="56">
        <f>AH30/AI30-1</f>
        <v>0.07885814506018352</v>
      </c>
      <c r="AK30" s="32">
        <f>(BO30*IF(BQ30&gt;=6,IF(BQ30&lt;=7,BQ30/12,1),1)+BP30*IF(BQ30&gt;=6,IF(BQ30&lt;=7,1-BQ30/12,0),0))/10^6*BS30</f>
        <v>794.202</v>
      </c>
      <c r="AL30" s="57">
        <f>IF(BN30&lt;&gt;"",AM30/(1+BN30),"n.a.")</f>
        <v>948.135593220339</v>
      </c>
      <c r="AM30" s="57">
        <f>IF(BI30&lt;&gt;"",BI30,BK30/BL30)</f>
        <v>1118.8</v>
      </c>
      <c r="AN30" s="57">
        <f>IF(BI30&lt;&gt;"",BI30*BJ30,BK30/BM30)</f>
        <v>311.9330855018587</v>
      </c>
      <c r="AO30" s="58">
        <f>IF(ISNUMBER(AL30),AL30/AK30-1,"n.a.")</f>
        <v>0.19382171440054163</v>
      </c>
      <c r="AP30" s="58">
        <f>IF(ISNUMBER(AL30),AM30/AL30-1,"n.a.")</f>
        <v>0.17999999999999994</v>
      </c>
      <c r="AQ30" s="58">
        <f>AN30/AM30</f>
        <v>0.2788104089219331</v>
      </c>
      <c r="AR30" s="59">
        <f>IF(ISNUMBER(AL30),AH30/AL30,"n.a.")</f>
        <v>9.547894583782623</v>
      </c>
      <c r="AS30" s="59">
        <f>AH30/AM30</f>
        <v>8.091436087951378</v>
      </c>
      <c r="AT30" t="s" s="59">
        <v>68</v>
      </c>
      <c r="AU30" s="59">
        <f>AH30/AN30</f>
        <v>29.02128410211894</v>
      </c>
      <c r="AX30" s="74">
        <v>35921370</v>
      </c>
      <c r="AY30" s="74">
        <v>36259000</v>
      </c>
      <c r="AZ30" s="74">
        <v>35889000</v>
      </c>
      <c r="BA30" s="75"/>
      <c r="BB30" s="75"/>
      <c r="BC30" s="75"/>
      <c r="BD30" s="75"/>
      <c r="BE30" s="75"/>
      <c r="BF30" s="75"/>
      <c r="BG30" s="74">
        <v>76093000</v>
      </c>
      <c r="BH30" s="74">
        <v>124056000</v>
      </c>
      <c r="BI30" s="82"/>
      <c r="BJ30" s="107"/>
      <c r="BK30" s="76">
        <v>8391</v>
      </c>
      <c r="BL30" s="78">
        <v>7.5</v>
      </c>
      <c r="BM30" s="78">
        <v>26.9</v>
      </c>
      <c r="BN30" s="77">
        <v>0.18</v>
      </c>
      <c r="BO30" s="74">
        <v>794202000</v>
      </c>
      <c r="BP30" s="75"/>
      <c r="BQ30" s="79">
        <v>12</v>
      </c>
      <c r="BR30" s="109"/>
      <c r="BS30" s="81">
        <f>1</f>
        <v>1</v>
      </c>
      <c r="BT30" s="211"/>
    </row>
    <row r="31">
      <c r="B31" t="str">
        <f>V31</f>
        <v>Vertex</v>
      </c>
      <c r="C31" t="s" s="160">
        <v>20</v>
      </c>
      <c r="D31" s="149">
        <f>AB31</f>
        <v>19.19</v>
      </c>
      <c r="E31" s="169">
        <f>AD31</f>
        <v>0.3255301102629347</v>
      </c>
      <c r="F31" s="147">
        <f>AH31</f>
        <v>3137.0413791600004</v>
      </c>
      <c r="G31" s="159">
        <f>IF(ISNUMBER(AP31),AP31,BT31)</f>
        <v>0.111</v>
      </c>
      <c r="H31" s="159">
        <f>AQ31</f>
        <v>0.224</v>
      </c>
      <c r="I31" s="159">
        <f>G31+H31</f>
        <v>0.335</v>
      </c>
      <c r="J31" s="148">
        <f>AS31</f>
        <v>3.7978709190799034</v>
      </c>
      <c r="K31" s="148">
        <f>AU31</f>
        <v>16.95478088874957</v>
      </c>
      <c r="L31" s="159">
        <f>G31-$D$57</f>
        <v>-0.041999999999999996</v>
      </c>
      <c r="M31" s="159">
        <f>H31-$D$58</f>
        <v>-0.1355744680851064</v>
      </c>
      <c r="N31" t="str" s="51">
        <f>IF(AND(ABS(L31)&lt;=$D$60,ABS(M31)&lt;=$D$61),"Fair comp",IF(AND(I31&lt;$D$59,J31&lt;$D$62),"Flatters price","Not comparable"))</f>
        <v>Flatters price</v>
      </c>
      <c r="O31" t="s" s="142">
        <v>220</v>
      </c>
      <c r="V31" t="s">
        <v>104</v>
      </c>
      <c r="W31" t="s" s="51">
        <v>105</v>
      </c>
      <c r="X31" t="s" s="51">
        <v>90</v>
      </c>
      <c r="Y31" t="s" s="51">
        <v>71</v>
      </c>
      <c r="Z31" s="72">
        <v>19.19</v>
      </c>
      <c r="AA31" s="53">
        <f>1</f>
        <v>1</v>
      </c>
      <c r="AB31" s="30">
        <f>Z31*AA31</f>
        <v>19.19</v>
      </c>
      <c r="AC31" s="73">
        <v>58.95</v>
      </c>
      <c r="AD31" s="54">
        <f>Z31/AC31</f>
        <v>0.3255301102629347</v>
      </c>
      <c r="AE31" s="55">
        <f>(AX31+IF(BA31&lt;&gt;"",BA31,AY31-AZ31)-BB31)/10^6</f>
        <v>162.252964</v>
      </c>
      <c r="AF31" s="32">
        <f>AB31*AE31</f>
        <v>3113.63437916</v>
      </c>
      <c r="AG31" s="32">
        <f>(SUM(BC31:BF31)-BG31-BH31)/10^6*BS31</f>
        <v>23.407</v>
      </c>
      <c r="AH31" s="32">
        <f>AF31+AG31</f>
        <v>3137.0413791600004</v>
      </c>
      <c r="AI31" s="32">
        <f>IF(BK31&lt;&gt;"",BK31,BR31*1000)</f>
        <v>3300</v>
      </c>
      <c r="AJ31" s="56">
        <f>AH31/AI31-1</f>
        <v>-0.049381400254545293</v>
      </c>
      <c r="AK31" s="32">
        <f>(BO31*IF(BQ31&gt;=6,IF(BQ31&lt;=7,BQ31/12,1),1)+BP31*IF(BQ31&gt;=6,IF(BQ31&lt;=7,1-BQ31/12,0),0))/10^6*BS31</f>
        <v>666.776</v>
      </c>
      <c r="AL31" t="str" s="57">
        <f>IF(BN31&lt;&gt;"",AM31/(1+BN31),"n.a.")</f>
        <v>n.a.</v>
      </c>
      <c r="AM31" s="57">
        <f>IF(BI31&lt;&gt;"",BI31,BK31/BL31)</f>
        <v>826</v>
      </c>
      <c r="AN31" s="57">
        <f>IF(BI31&lt;&gt;"",BI31*BJ31,BK31/BM31)</f>
        <v>185.024</v>
      </c>
      <c r="AO31" t="str" s="58">
        <f>IF(ISNUMBER(AL31),AL31/AK31-1,"n.a.")</f>
        <v>n.a.</v>
      </c>
      <c r="AP31" t="str" s="58">
        <f>IF(ISNUMBER(AL31),AM31/AL31-1,"n.a.")</f>
        <v>n.a.</v>
      </c>
      <c r="AQ31" s="58">
        <f>AN31/AM31</f>
        <v>0.224</v>
      </c>
      <c r="AR31" t="str" s="59">
        <f>IF(ISNUMBER(AL31),AH31/AL31,"n.a.")</f>
        <v>n.a.</v>
      </c>
      <c r="AS31" s="59">
        <f>AH31/AM31</f>
        <v>3.7978709190799034</v>
      </c>
      <c r="AT31" t="s" s="59">
        <v>68</v>
      </c>
      <c r="AU31" s="59">
        <f>AH31/AN31</f>
        <v>16.95478088874957</v>
      </c>
      <c r="AX31" s="74">
        <v>159527964</v>
      </c>
      <c r="AY31" s="74">
        <v>81865000</v>
      </c>
      <c r="AZ31" s="74">
        <v>77361000</v>
      </c>
      <c r="BA31" s="74">
        <v>2725000</v>
      </c>
      <c r="BB31" s="75"/>
      <c r="BC31" s="75"/>
      <c r="BD31" s="75"/>
      <c r="BE31" s="74">
        <v>336913000</v>
      </c>
      <c r="BF31" s="75"/>
      <c r="BG31" s="74">
        <v>313506000</v>
      </c>
      <c r="BH31" s="75"/>
      <c r="BI31" s="76">
        <v>826</v>
      </c>
      <c r="BJ31" s="77">
        <v>0.224</v>
      </c>
      <c r="BK31" s="82"/>
      <c r="BL31" s="83"/>
      <c r="BM31" s="83"/>
      <c r="BN31" s="107"/>
      <c r="BO31" s="74">
        <v>666776000</v>
      </c>
      <c r="BP31" s="75"/>
      <c r="BQ31" s="79">
        <v>12</v>
      </c>
      <c r="BR31" s="80">
        <v>3.3</v>
      </c>
      <c r="BS31" s="81">
        <f>1</f>
        <v>1</v>
      </c>
      <c r="BT31" s="211">
        <v>0.111</v>
      </c>
    </row>
    <row r="32">
      <c r="B32" t="s" s="186">
        <v>75</v>
      </c>
      <c r="C32" s="187"/>
      <c r="D32" s="188"/>
      <c r="E32" s="189">
        <f>MEDIAN(E24:E31)</f>
        <v>0.7535074676354155</v>
      </c>
      <c r="F32" s="190"/>
      <c r="G32" s="191">
        <f>MEDIAN(G24:G31)</f>
        <v>0.1200000000000001</v>
      </c>
      <c r="H32" s="191">
        <f>MEDIAN(H24:H31)</f>
        <v>0.28490520446096657</v>
      </c>
      <c r="I32" s="191">
        <f>MEDIAN(I24:I31)</f>
        <v>0.4476242193863697</v>
      </c>
      <c r="J32" s="192">
        <f>MEDIAN(J24:J31)</f>
        <v>7.946002126956747</v>
      </c>
      <c r="K32" s="192">
        <f>MEDIAN(K24:K31)</f>
        <v>26.062511520160708</v>
      </c>
      <c r="L32" s="191"/>
      <c r="M32" s="191"/>
      <c r="N32" s="193"/>
      <c r="O32" s="194"/>
      <c r="V32" t="s" s="95">
        <v>75</v>
      </c>
      <c r="W32" s="96"/>
      <c r="X32" s="96"/>
      <c r="Y32" s="96"/>
      <c r="Z32" s="97"/>
      <c r="AA32" s="98"/>
      <c r="AB32" s="99"/>
      <c r="AC32" s="99"/>
      <c r="AD32" s="100">
        <f>MEDIAN(AD24:AD31)</f>
        <v>0.7535074676354155</v>
      </c>
      <c r="AE32" s="101"/>
      <c r="AF32" s="102"/>
      <c r="AG32" s="102"/>
      <c r="AH32" s="102"/>
      <c r="AI32" s="102"/>
      <c r="AJ32" s="103"/>
      <c r="AK32" s="102"/>
      <c r="AL32" s="104"/>
      <c r="AM32" s="104"/>
      <c r="AN32" s="104"/>
      <c r="AO32" s="105">
        <f>MEDIAN(AO24:AO31)</f>
        <v>0.14393888839853108</v>
      </c>
      <c r="AP32" s="105">
        <f>MEDIAN(AP24:AP31)</f>
        <v>0.1200000000000001</v>
      </c>
      <c r="AQ32" s="105">
        <f>MEDIAN(AQ24:AQ31)</f>
        <v>0.28490520446096657</v>
      </c>
      <c r="AR32" s="106">
        <f>MEDIAN(AR24:AR31)</f>
        <v>8.998885357476135</v>
      </c>
      <c r="AS32" s="106">
        <f>MEDIAN(AS24:AS31)</f>
        <v>7.946002126956747</v>
      </c>
      <c r="AT32" s="106"/>
      <c r="AU32" s="106">
        <f>MEDIAN(AU24:AU31)</f>
        <v>26.062511520160708</v>
      </c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82"/>
      <c r="BJ32" s="107"/>
      <c r="BK32" s="82"/>
      <c r="BL32" s="83"/>
      <c r="BM32" s="83"/>
      <c r="BN32" s="107"/>
      <c r="BO32" s="75"/>
      <c r="BP32" s="75"/>
      <c r="BQ32" s="108"/>
      <c r="BR32" s="109"/>
      <c r="BS32" s="81"/>
    </row>
    <row r="33">
      <c r="B33" t="s" s="168">
        <v>78</v>
      </c>
      <c r="C33" s="160"/>
      <c r="D33" s="149"/>
      <c r="E33" s="169">
        <f>_xlfn.QUARTILE.INC(E24:E31,1)</f>
        <v>0.656087439249204</v>
      </c>
      <c r="F33" s="147"/>
      <c r="G33" s="159">
        <f>_xlfn.QUARTILE.INC(G24:G31,1)</f>
        <v>0.11075000000000003</v>
      </c>
      <c r="H33" s="159">
        <f>_xlfn.QUARTILE.INC(H24:H31,1)</f>
        <v>0.2653103448275862</v>
      </c>
      <c r="I33" s="159">
        <f>_xlfn.QUARTILE.INC(I24:I31,1)</f>
        <v>0.3842500000000001</v>
      </c>
      <c r="J33" s="148">
        <f>_xlfn.QUARTILE.INC(J24:J31,1)</f>
        <v>7.385026699559994</v>
      </c>
      <c r="K33" s="148">
        <f>_xlfn.QUARTILE.INC(K24:K31,1)</f>
        <v>24.120671559273422</v>
      </c>
      <c r="L33" s="159"/>
      <c r="M33" s="159"/>
      <c r="N33" s="51"/>
      <c r="O33" s="142"/>
      <c r="V33" t="s">
        <v>78</v>
      </c>
      <c r="W33" s="51"/>
      <c r="X33" s="51"/>
      <c r="Y33" s="51"/>
      <c r="Z33" s="52"/>
      <c r="AA33" s="53"/>
      <c r="AB33" s="30"/>
      <c r="AC33" s="30"/>
      <c r="AD33" s="54">
        <f>_xlfn.QUARTILE.INC(AD24:AD31,1)</f>
        <v>0.656087439249204</v>
      </c>
      <c r="AE33" s="55"/>
      <c r="AF33" s="32"/>
      <c r="AG33" s="32"/>
      <c r="AH33" s="32"/>
      <c r="AI33" s="32"/>
      <c r="AJ33" s="56"/>
      <c r="AK33" s="32"/>
      <c r="AL33" s="57"/>
      <c r="AM33" s="57"/>
      <c r="AN33" s="57"/>
      <c r="AO33" s="58">
        <f>_xlfn.QUARTILE.INC(AO24:AO31,1)</f>
        <v>0.11503959237070849</v>
      </c>
      <c r="AP33" s="58">
        <f>_xlfn.QUARTILE.INC(AP24:AP31,1)</f>
        <v>0.1150000000000001</v>
      </c>
      <c r="AQ33" s="58">
        <f>_xlfn.QUARTILE.INC(AQ24:AQ31,1)</f>
        <v>0.2653103448275862</v>
      </c>
      <c r="AR33" s="59">
        <f>_xlfn.QUARTILE.INC(AR24:AR31,1)</f>
        <v>8.732909255341347</v>
      </c>
      <c r="AS33" s="59">
        <f>_xlfn.QUARTILE.INC(AS24:AS31,1)</f>
        <v>7.385026699559994</v>
      </c>
      <c r="AT33" s="59"/>
      <c r="AU33" s="59">
        <f>_xlfn.QUARTILE.INC(AU24:AU31,1)</f>
        <v>24.120671559273422</v>
      </c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82"/>
      <c r="BJ33" s="107"/>
      <c r="BK33" s="82"/>
      <c r="BL33" s="83"/>
      <c r="BM33" s="83"/>
      <c r="BN33" s="107"/>
      <c r="BO33" s="75"/>
      <c r="BP33" s="75"/>
      <c r="BQ33" s="108"/>
      <c r="BR33" s="109"/>
      <c r="BS33" s="81"/>
    </row>
    <row r="34">
      <c r="B34" t="s" s="168">
        <v>81</v>
      </c>
      <c r="C34" s="160"/>
      <c r="D34" s="149"/>
      <c r="E34" s="169">
        <f>_xlfn.QUARTILE.INC(E24:E31,3)</f>
        <v>0.8192835445078832</v>
      </c>
      <c r="F34" s="147"/>
      <c r="G34" s="159">
        <f>_xlfn.QUARTILE.INC(G24:G31,3)</f>
        <v>0.1399999999999999</v>
      </c>
      <c r="H34" s="159">
        <f>_xlfn.QUARTILE.INC(H24:H31,3)</f>
        <v>0.3329331591398609</v>
      </c>
      <c r="I34" s="159">
        <f>_xlfn.QUARTILE.INC(I24:I31,3)</f>
        <v>0.4624149815793422</v>
      </c>
      <c r="J34" s="148">
        <f>_xlfn.QUARTILE.INC(J24:J31,3)</f>
        <v>8.381730194812901</v>
      </c>
      <c r="K34" s="148">
        <f>_xlfn.QUARTILE.INC(K24:K31,3)</f>
        <v>27.372525688532853</v>
      </c>
      <c r="L34" s="159"/>
      <c r="M34" s="159"/>
      <c r="N34" s="51"/>
      <c r="O34" s="142"/>
      <c r="V34" t="s">
        <v>81</v>
      </c>
      <c r="W34" s="51"/>
      <c r="X34" s="51"/>
      <c r="Y34" s="51"/>
      <c r="Z34" s="52"/>
      <c r="AA34" s="53"/>
      <c r="AB34" s="30"/>
      <c r="AC34" s="30"/>
      <c r="AD34" s="54">
        <f>_xlfn.QUARTILE.INC(AD24:AD31,3)</f>
        <v>0.8192835445078832</v>
      </c>
      <c r="AE34" s="55"/>
      <c r="AF34" s="32"/>
      <c r="AG34" s="32"/>
      <c r="AH34" s="32"/>
      <c r="AI34" s="32"/>
      <c r="AJ34" s="56"/>
      <c r="AK34" s="32"/>
      <c r="AL34" s="57"/>
      <c r="AM34" s="57"/>
      <c r="AN34" s="57"/>
      <c r="AO34" s="58">
        <f>_xlfn.QUARTILE.INC(AO24:AO31,3)</f>
        <v>0.18612656548966877</v>
      </c>
      <c r="AP34" s="58">
        <f>_xlfn.QUARTILE.INC(AP24:AP31,3)</f>
        <v>0.1499999999999999</v>
      </c>
      <c r="AQ34" s="58">
        <f>_xlfn.QUARTILE.INC(AQ24:AQ31,3)</f>
        <v>0.3329331591398609</v>
      </c>
      <c r="AR34" s="59">
        <f>_xlfn.QUARTILE.INC(AR24:AR31,3)</f>
        <v>9.90914723793691</v>
      </c>
      <c r="AS34" s="59">
        <f>_xlfn.QUARTILE.INC(AS24:AS31,3)</f>
        <v>8.381730194812901</v>
      </c>
      <c r="AT34" s="59"/>
      <c r="AU34" s="59">
        <f>_xlfn.QUARTILE.INC(AU24:AU31,3)</f>
        <v>27.372525688532853</v>
      </c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82"/>
      <c r="BJ34" s="107"/>
      <c r="BK34" s="82"/>
      <c r="BL34" s="83"/>
      <c r="BM34" s="83"/>
      <c r="BN34" s="107"/>
      <c r="BO34" s="75"/>
      <c r="BP34" s="75"/>
      <c r="BQ34" s="108"/>
      <c r="BR34" s="109"/>
      <c r="BS34" s="81"/>
    </row>
    <row r="35">
      <c r="C35" s="160"/>
      <c r="D35" s="149"/>
      <c r="E35" s="169"/>
      <c r="F35" s="147"/>
      <c r="G35" s="159"/>
      <c r="H35" s="159"/>
      <c r="I35" s="159"/>
      <c r="J35" s="148"/>
      <c r="K35" s="148"/>
      <c r="L35" s="159"/>
      <c r="M35" s="159"/>
      <c r="N35" s="51"/>
      <c r="O35" s="142"/>
      <c r="W35" s="51"/>
      <c r="X35" s="51"/>
      <c r="Y35" s="51"/>
      <c r="Z35" s="52"/>
      <c r="AA35" s="53"/>
      <c r="AB35" s="30"/>
      <c r="AC35" s="30"/>
      <c r="AD35" s="54"/>
      <c r="AE35" s="55"/>
      <c r="AF35" s="32"/>
      <c r="AG35" s="32"/>
      <c r="AH35" s="32"/>
      <c r="AI35" s="32"/>
      <c r="AJ35" s="56"/>
      <c r="AK35" s="32"/>
      <c r="AL35" s="57"/>
      <c r="AM35" s="57"/>
      <c r="AN35" s="57"/>
      <c r="AO35" s="58"/>
      <c r="AP35" s="58"/>
      <c r="AQ35" s="58"/>
      <c r="AR35" s="59"/>
      <c r="AS35" s="59"/>
      <c r="AT35" s="59"/>
      <c r="AU35" s="59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82"/>
      <c r="BJ35" s="107"/>
      <c r="BK35" s="82"/>
      <c r="BL35" s="83"/>
      <c r="BM35" s="83"/>
      <c r="BN35" s="107"/>
      <c r="BO35" s="75"/>
      <c r="BP35" s="75"/>
      <c r="BQ35" s="108"/>
      <c r="BR35" s="109"/>
      <c r="BS35" s="81"/>
    </row>
    <row r="36">
      <c r="B36" t="s" s="60">
        <v>101</v>
      </c>
      <c r="C36" s="178"/>
      <c r="D36" s="171"/>
      <c r="E36" s="172"/>
      <c r="F36" s="173"/>
      <c r="G36" s="174"/>
      <c r="H36" s="174"/>
      <c r="I36" s="174"/>
      <c r="J36" s="175"/>
      <c r="K36" s="175"/>
      <c r="L36" s="174"/>
      <c r="M36" s="174"/>
      <c r="N36" s="61"/>
      <c r="O36" s="179"/>
      <c r="V36" t="s" s="60">
        <v>106</v>
      </c>
      <c r="W36" s="61"/>
      <c r="X36" s="61"/>
      <c r="Y36" s="61"/>
      <c r="Z36" s="62"/>
      <c r="AA36" s="63"/>
      <c r="AB36" s="64"/>
      <c r="AC36" s="64"/>
      <c r="AD36" s="65"/>
      <c r="AE36" s="66"/>
      <c r="AF36" s="67"/>
      <c r="AG36" s="67"/>
      <c r="AH36" s="67"/>
      <c r="AI36" s="67"/>
      <c r="AJ36" s="68"/>
      <c r="AK36" s="67"/>
      <c r="AL36" s="69"/>
      <c r="AM36" s="69"/>
      <c r="AN36" s="69"/>
      <c r="AO36" s="70"/>
      <c r="AP36" s="70"/>
      <c r="AQ36" s="70"/>
      <c r="AR36" s="71"/>
      <c r="AS36" s="71"/>
      <c r="AT36" s="71"/>
      <c r="AU36" s="71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82"/>
      <c r="BJ36" s="107"/>
      <c r="BK36" s="82"/>
      <c r="BL36" s="83"/>
      <c r="BM36" s="83"/>
      <c r="BN36" s="107"/>
      <c r="BO36" s="75"/>
      <c r="BP36" s="75"/>
      <c r="BQ36" s="108"/>
      <c r="BR36" s="109"/>
      <c r="BS36" s="81"/>
    </row>
    <row r="37">
      <c r="B37" t="str">
        <f>V37</f>
        <v>Descartes Systems</v>
      </c>
      <c r="C37" t="s" s="160">
        <v>188</v>
      </c>
      <c r="D37" s="149">
        <f>AB37</f>
        <v>82.79278637108845</v>
      </c>
      <c r="E37" s="169">
        <f>AD37</f>
        <v>0.6624272841336831</v>
      </c>
      <c r="F37" s="147">
        <f>AH37</f>
        <v>6976.906764879892</v>
      </c>
      <c r="G37" s="159">
        <f>IF(ISNUMBER(AP37),AP37,BT37)</f>
        <v>0.1100000000000001</v>
      </c>
      <c r="H37" s="159">
        <f>AQ37</f>
        <v>0.463768115942029</v>
      </c>
      <c r="I37" s="159">
        <f>G37+H37</f>
        <v>0.5737681159420291</v>
      </c>
      <c r="J37" s="148">
        <f>AS37</f>
        <v>8.795575173059351</v>
      </c>
      <c r="K37" s="148">
        <f>AU37</f>
        <v>18.965458966909225</v>
      </c>
      <c r="L37" s="159">
        <f>G37-$D$57</f>
        <v>-0.0429999999999999</v>
      </c>
      <c r="M37" s="159">
        <f>H37-$D$58</f>
        <v>0.10419364785692259</v>
      </c>
      <c r="N37" t="str" s="51">
        <f>IF(AND(ABS(L37)&lt;=$D$60,ABS(M37)&lt;=$D$61),"Fair comp",IF(AND(I37&lt;$D$59,J37&lt;$D$62),"Flatters price","Not comparable"))</f>
        <v>Not comparable</v>
      </c>
      <c r="O37" t="s" s="142">
        <v>221</v>
      </c>
      <c r="V37" t="s">
        <v>108</v>
      </c>
      <c r="W37" t="s" s="51">
        <v>109</v>
      </c>
      <c r="X37" t="s" s="51">
        <v>71</v>
      </c>
      <c r="Y37" t="s" s="51">
        <v>90</v>
      </c>
      <c r="Z37" s="72">
        <v>116.15</v>
      </c>
      <c r="AA37" s="53">
        <f>1/$X$80</f>
        <v>0.712809180982251</v>
      </c>
      <c r="AB37" s="30">
        <f>Z37*AA37</f>
        <v>82.79278637108845</v>
      </c>
      <c r="AC37" s="72">
        <v>175.34</v>
      </c>
      <c r="AD37" s="54">
        <f>Z37/AC37</f>
        <v>0.6624272841336831</v>
      </c>
      <c r="AE37" s="55">
        <f>(AX37+IF(BA37&lt;&gt;"",BA37,AY37-AZ37)-BB37)/10^6</f>
        <v>87.636823</v>
      </c>
      <c r="AF37" s="32">
        <f>AB37*AE37</f>
        <v>7255.696764879892</v>
      </c>
      <c r="AG37" s="32">
        <f>(SUM(BC37:BF37)-BG37-BH37)/10^6*BS37</f>
        <v>-278.79</v>
      </c>
      <c r="AH37" s="32">
        <f>AF37+AG37</f>
        <v>6976.906764879892</v>
      </c>
      <c r="AI37" s="32">
        <f>IF(BK37&lt;&gt;"",BK37,BR37*1000)</f>
        <v>7615</v>
      </c>
      <c r="AJ37" s="56">
        <f>AH37/AI37-1</f>
        <v>-0.08379425280631758</v>
      </c>
      <c r="AK37" s="32">
        <f>(BO37*IF(BQ37&gt;=6,IF(BQ37&lt;=7,BQ37/12,1),1)+BP37*IF(BQ37&gt;=6,IF(BQ37&lt;=7,1-BQ37/12,0),0))/10^6*BS37</f>
        <v>651</v>
      </c>
      <c r="AL37" s="57">
        <f>IF(BN37&lt;&gt;"",AM37/(1+BN37),"n.a.")</f>
        <v>714.6208708708709</v>
      </c>
      <c r="AM37" s="57">
        <f>IF(BI37&lt;&gt;"",BI37,BK37/BL37)</f>
        <v>793.2291666666667</v>
      </c>
      <c r="AN37" s="57">
        <f>IF(BI37&lt;&gt;"",BI37*BJ37,BK37/BM37)</f>
        <v>367.8743961352657</v>
      </c>
      <c r="AO37" s="58">
        <f>IF(ISNUMBER(AL37),AL37/AK37-1,"n.a.")</f>
        <v>0.09772791224404132</v>
      </c>
      <c r="AP37" s="58">
        <f>IF(ISNUMBER(AL37),AM37/AL37-1,"n.a.")</f>
        <v>0.1100000000000001</v>
      </c>
      <c r="AQ37" s="58">
        <f>AN37/AM37</f>
        <v>0.463768115942029</v>
      </c>
      <c r="AR37" s="59">
        <f>IF(ISNUMBER(AL37),AH37/AL37,"n.a.")</f>
        <v>9.76308844209588</v>
      </c>
      <c r="AS37" s="59">
        <f>AH37/AM37</f>
        <v>8.795575173059351</v>
      </c>
      <c r="AT37" t="s" s="59">
        <v>68</v>
      </c>
      <c r="AU37" s="59">
        <f>AH37/AN37</f>
        <v>18.965458966909225</v>
      </c>
      <c r="AX37" s="74">
        <v>85986823</v>
      </c>
      <c r="AY37" s="74">
        <v>87610000</v>
      </c>
      <c r="AZ37" s="74">
        <v>85960000</v>
      </c>
      <c r="BA37" s="75"/>
      <c r="BB37" s="75"/>
      <c r="BC37" s="75"/>
      <c r="BD37" s="75"/>
      <c r="BE37" s="75"/>
      <c r="BF37" s="75"/>
      <c r="BG37" s="74">
        <v>278790000</v>
      </c>
      <c r="BH37" s="75"/>
      <c r="BI37" s="82"/>
      <c r="BJ37" s="107"/>
      <c r="BK37" s="76">
        <v>7615</v>
      </c>
      <c r="BL37" s="78">
        <v>9.6</v>
      </c>
      <c r="BM37" s="78">
        <v>20.7</v>
      </c>
      <c r="BN37" s="77">
        <v>0.11</v>
      </c>
      <c r="BO37" s="74">
        <v>651000000</v>
      </c>
      <c r="BP37" s="75"/>
      <c r="BQ37" s="79">
        <v>1</v>
      </c>
      <c r="BR37" s="109"/>
      <c r="BS37" s="81">
        <f>1</f>
        <v>1</v>
      </c>
    </row>
    <row r="38">
      <c r="B38" t="str">
        <f>V38</f>
        <v>Autodesk</v>
      </c>
      <c r="C38" t="s" s="160">
        <v>188</v>
      </c>
      <c r="D38" s="149">
        <f>AB38</f>
        <v>298.72</v>
      </c>
      <c r="E38" s="169">
        <f>AD38</f>
        <v>0.9141038587472077</v>
      </c>
      <c r="F38" s="147">
        <f>AH38</f>
        <v>64119.08000000001</v>
      </c>
      <c r="G38" s="159">
        <f>IF(ISNUMBER(AP38),AP38,BT38)</f>
        <v>0.1100000000000001</v>
      </c>
      <c r="H38" s="159">
        <f>AQ38</f>
        <v>0.4018691588785047</v>
      </c>
      <c r="I38" s="159">
        <f>G38+H38</f>
        <v>0.5118691588785048</v>
      </c>
      <c r="J38" s="148">
        <f>AS38</f>
        <v>8.178939305843965</v>
      </c>
      <c r="K38" s="148">
        <f>AU38</f>
        <v>20.35224431919312</v>
      </c>
      <c r="L38" s="159">
        <f>G38-$D$57</f>
        <v>-0.0429999999999999</v>
      </c>
      <c r="M38" s="159">
        <f>H38-$D$58</f>
        <v>0.042294690793398315</v>
      </c>
      <c r="N38" t="str" s="51">
        <f>IF(AND(ABS(L38)&lt;=$D$60,ABS(M38)&lt;=$D$61),"Fair comp",IF(AND(I38&lt;$D$59,J38&lt;$D$62),"Flatters price","Not comparable"))</f>
        <v>Fair comp</v>
      </c>
      <c r="O38" t="s" s="142">
        <v>222</v>
      </c>
      <c r="V38" t="s">
        <v>110</v>
      </c>
      <c r="W38" t="s" s="51">
        <v>111</v>
      </c>
      <c r="X38" t="s" s="51">
        <v>71</v>
      </c>
      <c r="Y38" t="s" s="51">
        <v>90</v>
      </c>
      <c r="Z38" s="72">
        <v>298.72</v>
      </c>
      <c r="AA38" s="53">
        <f>1</f>
        <v>1</v>
      </c>
      <c r="AB38" s="30">
        <f>Z38*AA38</f>
        <v>298.72</v>
      </c>
      <c r="AC38" s="73">
        <v>326.79</v>
      </c>
      <c r="AD38" s="54">
        <f>Z38/AC38</f>
        <v>0.9141038587472077</v>
      </c>
      <c r="AE38" s="55">
        <f>(AX38+IF(BA38&lt;&gt;"",BA38,AY38-AZ38)-BB38)/10^6</f>
        <v>214</v>
      </c>
      <c r="AF38" s="32">
        <f>AB38*AE38</f>
        <v>63926.08000000001</v>
      </c>
      <c r="AG38" s="32">
        <f>(SUM(BC38:BF38)-BG38-BH38)/10^6*BS38</f>
        <v>193</v>
      </c>
      <c r="AH38" s="32">
        <f>AF38+AG38</f>
        <v>64119.08000000001</v>
      </c>
      <c r="AI38" s="32">
        <f>IF(BK38&lt;&gt;"",BK38,BR38*1000)</f>
        <v>67420</v>
      </c>
      <c r="AJ38" s="56">
        <f>AH38/AI38-1</f>
        <v>-0.04896054583209719</v>
      </c>
      <c r="AK38" s="32">
        <f>(BO38*IF(BQ38&gt;=6,IF(BQ38&lt;=7,BQ38/12,1),1)+BP38*IF(BQ38&gt;=6,IF(BQ38&lt;=7,1-BQ38/12,0),0))/10^6*BS38</f>
        <v>6131</v>
      </c>
      <c r="AL38" s="57">
        <f>IF(BN38&lt;&gt;"",AM38/(1+BN38),"n.a.")</f>
        <v>7062.644039388225</v>
      </c>
      <c r="AM38" s="57">
        <f>IF(BI38&lt;&gt;"",BI38,BK38/BL38)</f>
        <v>7839.53488372093</v>
      </c>
      <c r="AN38" s="57">
        <f>IF(BI38&lt;&gt;"",BI38*BJ38,BK38/BM38)</f>
        <v>3150.4672897196265</v>
      </c>
      <c r="AO38" s="58">
        <f>IF(ISNUMBER(AL38),AL38/AK38-1,"n.a.")</f>
        <v>0.15195629414259093</v>
      </c>
      <c r="AP38" s="58">
        <f>IF(ISNUMBER(AL38),AM38/AL38-1,"n.a.")</f>
        <v>0.1100000000000001</v>
      </c>
      <c r="AQ38" s="58">
        <f>AN38/AM38</f>
        <v>0.4018691588785047</v>
      </c>
      <c r="AR38" s="59">
        <f>IF(ISNUMBER(AL38),AH38/AL38,"n.a.")</f>
        <v>9.078622629486802</v>
      </c>
      <c r="AS38" s="59">
        <f>AH38/AM38</f>
        <v>8.178939305843965</v>
      </c>
      <c r="AT38" t="s" s="59">
        <v>68</v>
      </c>
      <c r="AU38" s="59">
        <f>AH38/AN38</f>
        <v>20.35224431919312</v>
      </c>
      <c r="AX38" s="74">
        <v>212000000</v>
      </c>
      <c r="AY38" s="74">
        <v>215000000</v>
      </c>
      <c r="AZ38" s="74">
        <v>213000000</v>
      </c>
      <c r="BA38" s="75"/>
      <c r="BB38" s="75"/>
      <c r="BC38" s="75"/>
      <c r="BD38" s="75"/>
      <c r="BE38" s="74">
        <v>2482000000</v>
      </c>
      <c r="BF38" s="75"/>
      <c r="BG38" s="74">
        <v>1989000000</v>
      </c>
      <c r="BH38" s="74">
        <v>300000000</v>
      </c>
      <c r="BI38" s="82"/>
      <c r="BJ38" s="107"/>
      <c r="BK38" s="76">
        <v>67420</v>
      </c>
      <c r="BL38" s="78">
        <v>8.6</v>
      </c>
      <c r="BM38" s="78">
        <v>21.4</v>
      </c>
      <c r="BN38" s="77">
        <v>0.11</v>
      </c>
      <c r="BO38" s="74">
        <v>6131000000</v>
      </c>
      <c r="BP38" s="75"/>
      <c r="BQ38" s="79">
        <v>1</v>
      </c>
      <c r="BR38" s="109"/>
      <c r="BS38" s="81">
        <f>1</f>
        <v>1</v>
      </c>
    </row>
    <row r="39">
      <c r="B39" t="str">
        <f>V39</f>
        <v>Atlassian</v>
      </c>
      <c r="C39" t="s" s="160">
        <v>188</v>
      </c>
      <c r="D39" s="149">
        <f>AB39</f>
        <v>159.13</v>
      </c>
      <c r="E39" s="169">
        <f>AD39</f>
        <v>0.4927540719638323</v>
      </c>
      <c r="F39" s="147">
        <f>AH39</f>
        <v>40078.61202474</v>
      </c>
      <c r="G39" s="159">
        <f>IF(ISNUMBER(AP39),AP39,BT39)</f>
        <v>0.19999999999999996</v>
      </c>
      <c r="H39" s="159">
        <f>AQ39</f>
        <v>0.26556016597510373</v>
      </c>
      <c r="I39" s="159">
        <f>G39+H39</f>
        <v>0.4655601659751037</v>
      </c>
      <c r="J39" s="148">
        <f>AS39</f>
        <v>5.774496104419992</v>
      </c>
      <c r="K39" s="148">
        <f>AU39</f>
        <v>21.74458689320653</v>
      </c>
      <c r="L39" s="159">
        <f>G39-$D$57</f>
        <v>0.04699999999999996</v>
      </c>
      <c r="M39" s="159">
        <f>H39-$D$58</f>
        <v>-0.09401430211000267</v>
      </c>
      <c r="N39" t="str" s="51">
        <f>IF(AND(ABS(L39)&lt;=$D$60,ABS(M39)&lt;=$D$61),"Fair comp",IF(AND(I39&lt;$D$59,J39&lt;$D$62),"Flatters price","Not comparable"))</f>
        <v>Fair comp</v>
      </c>
      <c r="O39" t="s" s="142">
        <v>223</v>
      </c>
      <c r="V39" t="s">
        <v>112</v>
      </c>
      <c r="W39" t="s" s="51">
        <v>113</v>
      </c>
      <c r="X39" t="s" s="51">
        <v>71</v>
      </c>
      <c r="Y39" t="s" s="51">
        <v>90</v>
      </c>
      <c r="Z39" s="72">
        <v>159.13</v>
      </c>
      <c r="AA39" s="53">
        <f>1</f>
        <v>1</v>
      </c>
      <c r="AB39" s="30">
        <f>Z39*AA39</f>
        <v>159.13</v>
      </c>
      <c r="AC39" s="73">
        <v>322.94</v>
      </c>
      <c r="AD39" s="54">
        <f>Z39/AC39</f>
        <v>0.4927540719638323</v>
      </c>
      <c r="AE39" s="55">
        <f>(AX39+IF(BA39&lt;&gt;"",BA39,AY39-AZ39)-BB39)/10^6</f>
        <v>263.111098</v>
      </c>
      <c r="AF39" s="32">
        <f>AB39*AE39</f>
        <v>41868.86902474</v>
      </c>
      <c r="AG39" s="32">
        <f>(SUM(BC39:BF39)-BG39-BH39)/10^6*BS39</f>
        <v>-1790.257</v>
      </c>
      <c r="AH39" s="32">
        <f>AF39+AG39</f>
        <v>40078.61202474</v>
      </c>
      <c r="AI39" s="32">
        <f>IF(BK39&lt;&gt;"",BK39,BR39*1000)</f>
        <v>44420</v>
      </c>
      <c r="AJ39" s="56">
        <f>AH39/AI39-1</f>
        <v>-0.09773498368437639</v>
      </c>
      <c r="AK39" s="32">
        <f>(BO39*IF(BQ39&gt;=6,IF(BQ39&lt;=7,BQ39/12,1),1)+BP39*IF(BQ39&gt;=6,IF(BQ39&lt;=7,1-BQ39/12,0),0))/10^6*BS39</f>
        <v>4786.9535</v>
      </c>
      <c r="AL39" s="57">
        <f>IF(BN39&lt;&gt;"",AM39/(1+BN39),"n.a.")</f>
        <v>5783.854166666667</v>
      </c>
      <c r="AM39" s="57">
        <f>IF(BI39&lt;&gt;"",BI39,BK39/BL39)</f>
        <v>6940.625</v>
      </c>
      <c r="AN39" s="57">
        <f>IF(BI39&lt;&gt;"",BI39*BJ39,BK39/BM39)</f>
        <v>1843.1535269709543</v>
      </c>
      <c r="AO39" s="58">
        <f>IF(ISNUMBER(AL39),AL39/AK39-1,"n.a.")</f>
        <v>0.2082536767208345</v>
      </c>
      <c r="AP39" s="58">
        <f>IF(ISNUMBER(AL39),AM39/AL39-1,"n.a.")</f>
        <v>0.19999999999999996</v>
      </c>
      <c r="AQ39" s="58">
        <f>AN39/AM39</f>
        <v>0.26556016597510373</v>
      </c>
      <c r="AR39" s="59">
        <f>IF(ISNUMBER(AL39),AH39/AL39,"n.a.")</f>
        <v>6.9293953253039895</v>
      </c>
      <c r="AS39" s="59">
        <f>AH39/AM39</f>
        <v>5.774496104419992</v>
      </c>
      <c r="AT39" t="s" s="59">
        <v>68</v>
      </c>
      <c r="AU39" s="59">
        <f>AH39/AN39</f>
        <v>21.74458689320653</v>
      </c>
      <c r="AX39" s="74">
        <v>263111098</v>
      </c>
      <c r="AY39" s="74">
        <v>262991000</v>
      </c>
      <c r="AZ39" s="74">
        <v>262991000</v>
      </c>
      <c r="BA39" s="75"/>
      <c r="BB39" s="75"/>
      <c r="BC39" s="75"/>
      <c r="BD39" s="75"/>
      <c r="BE39" s="74">
        <v>988143000</v>
      </c>
      <c r="BF39" s="75"/>
      <c r="BG39" s="74">
        <v>2322360000</v>
      </c>
      <c r="BH39" s="74">
        <v>456040000</v>
      </c>
      <c r="BI39" s="82"/>
      <c r="BJ39" s="107"/>
      <c r="BK39" s="76">
        <v>44420</v>
      </c>
      <c r="BL39" s="78">
        <v>6.4</v>
      </c>
      <c r="BM39" s="78">
        <v>24.1</v>
      </c>
      <c r="BN39" s="77">
        <v>0.2</v>
      </c>
      <c r="BO39" s="74">
        <v>4358603000</v>
      </c>
      <c r="BP39" s="74">
        <v>5215304000</v>
      </c>
      <c r="BQ39" s="79">
        <v>6</v>
      </c>
      <c r="BR39" s="109"/>
      <c r="BS39" s="81">
        <f>1</f>
        <v>1</v>
      </c>
    </row>
    <row r="40">
      <c r="B40" t="s" s="186">
        <v>75</v>
      </c>
      <c r="C40" s="195"/>
      <c r="D40" s="195"/>
      <c r="E40" s="189">
        <f>MEDIAN(E37:E39)</f>
        <v>0.6624272841336831</v>
      </c>
      <c r="F40" s="190"/>
      <c r="G40" s="191">
        <f>MEDIAN(G37:G39)</f>
        <v>0.1100000000000001</v>
      </c>
      <c r="H40" s="191">
        <f>MEDIAN(H37:H39)</f>
        <v>0.4018691588785047</v>
      </c>
      <c r="I40" s="191">
        <f>MEDIAN(I37:I39)</f>
        <v>0.5118691588785048</v>
      </c>
      <c r="J40" s="192">
        <f>MEDIAN(J37:J39)</f>
        <v>8.178939305843965</v>
      </c>
      <c r="K40" s="192">
        <f>MEDIAN(K37:K39)</f>
        <v>20.35224431919312</v>
      </c>
      <c r="L40" s="191"/>
      <c r="M40" s="191"/>
      <c r="N40" s="195"/>
      <c r="O40" s="186"/>
      <c r="V40" t="s" s="95">
        <v>75</v>
      </c>
      <c r="W40" s="95"/>
      <c r="X40" s="95"/>
      <c r="Y40" s="95"/>
      <c r="Z40" s="95"/>
      <c r="AA40" s="95"/>
      <c r="AB40" s="95"/>
      <c r="AC40" s="95"/>
      <c r="AD40" s="100">
        <f>MEDIAN(AD37:AD39)</f>
        <v>0.6624272841336831</v>
      </c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103">
        <f>MEDIAN(AO37:AO39)</f>
        <v>0.15195629414259093</v>
      </c>
      <c r="AP40" s="103">
        <f>MEDIAN(AP37:AP39)</f>
        <v>0.1100000000000001</v>
      </c>
      <c r="AQ40" s="103">
        <f>MEDIAN(AQ37:AQ39)</f>
        <v>0.4018691588785047</v>
      </c>
      <c r="AR40" s="110">
        <f>MEDIAN(AR37:AR39)</f>
        <v>9.078622629486802</v>
      </c>
      <c r="AS40" s="110">
        <f>MEDIAN(AS37:AS39)</f>
        <v>8.178939305843965</v>
      </c>
      <c r="AT40" s="110"/>
      <c r="AU40" s="110">
        <f>MEDIAN(AU37:AU39)</f>
        <v>20.35224431919312</v>
      </c>
    </row>
    <row r="41">
      <c r="B41" t="s" s="168">
        <v>78</v>
      </c>
      <c r="C41" s="146"/>
      <c r="D41" s="146"/>
      <c r="E41" s="169">
        <f>_xlfn.QUARTILE.INC(E37:E39,1)</f>
        <v>0.5775906780487577</v>
      </c>
      <c r="F41" s="147"/>
      <c r="G41" s="159">
        <f>_xlfn.QUARTILE.INC(G37:G39,1)</f>
        <v>0.1100000000000001</v>
      </c>
      <c r="H41" s="159">
        <f>_xlfn.QUARTILE.INC(H37:H39,1)</f>
        <v>0.33371466242680425</v>
      </c>
      <c r="I41" s="159">
        <f>_xlfn.QUARTILE.INC(I37:I39,1)</f>
        <v>0.4887146624268043</v>
      </c>
      <c r="J41" s="148">
        <f>_xlfn.QUARTILE.INC(J37:J39,1)</f>
        <v>6.976717705131978</v>
      </c>
      <c r="K41" s="148">
        <f>_xlfn.QUARTILE.INC(K37:K39,1)</f>
        <v>19.65885164305117</v>
      </c>
      <c r="L41" s="159"/>
      <c r="M41" s="159"/>
      <c r="N41" s="146"/>
      <c r="V41" t="s">
        <v>78</v>
      </c>
      <c r="AD41" s="54">
        <f>_xlfn.QUARTILE.INC(AD37:AD39,1)</f>
        <v>0.5775906780487577</v>
      </c>
      <c r="AO41" s="56">
        <f>_xlfn.QUARTILE.INC(AO37:AO39,1)</f>
        <v>0.12484210319331612</v>
      </c>
      <c r="AP41" s="56">
        <f>_xlfn.QUARTILE.INC(AP37:AP39,1)</f>
        <v>0.1100000000000001</v>
      </c>
      <c r="AQ41" s="56">
        <f>_xlfn.QUARTILE.INC(AQ37:AQ39,1)</f>
        <v>0.33371466242680425</v>
      </c>
      <c r="AR41" s="111">
        <f>_xlfn.QUARTILE.INC(AR37:AR39,1)</f>
        <v>8.004008977395396</v>
      </c>
      <c r="AS41" s="111">
        <f>_xlfn.QUARTILE.INC(AS37:AS39,1)</f>
        <v>6.976717705131978</v>
      </c>
      <c r="AT41" s="111"/>
      <c r="AU41" s="111">
        <f>_xlfn.QUARTILE.INC(AU37:AU39,1)</f>
        <v>19.65885164305117</v>
      </c>
    </row>
    <row r="42">
      <c r="B42" t="s" s="168">
        <v>81</v>
      </c>
      <c r="C42" s="146"/>
      <c r="D42" s="146"/>
      <c r="E42" s="169">
        <f>_xlfn.QUARTILE.INC(E37:E39,3)</f>
        <v>0.7882655714404454</v>
      </c>
      <c r="F42" s="147"/>
      <c r="G42" s="159">
        <f>_xlfn.QUARTILE.INC(G37:G39,3)</f>
        <v>0.15500000000000003</v>
      </c>
      <c r="H42" s="159">
        <f>_xlfn.QUARTILE.INC(H37:H39,3)</f>
        <v>0.4328186374102668</v>
      </c>
      <c r="I42" s="159">
        <f>_xlfn.QUARTILE.INC(I37:I39,3)</f>
        <v>0.542818637410267</v>
      </c>
      <c r="J42" s="148">
        <f>_xlfn.QUARTILE.INC(J37:J39,3)</f>
        <v>8.487257239451658</v>
      </c>
      <c r="K42" s="148">
        <f>_xlfn.QUARTILE.INC(K37:K39,3)</f>
        <v>21.048415606199825</v>
      </c>
      <c r="L42" s="159"/>
      <c r="M42" s="159"/>
      <c r="N42" s="146"/>
      <c r="V42" t="s">
        <v>81</v>
      </c>
      <c r="AD42" s="54">
        <f>_xlfn.QUARTILE.INC(AD37:AD39,3)</f>
        <v>0.7882655714404454</v>
      </c>
      <c r="AO42" s="56">
        <f>_xlfn.QUARTILE.INC(AO37:AO39,3)</f>
        <v>0.18010498543171272</v>
      </c>
      <c r="AP42" s="56">
        <f>_xlfn.QUARTILE.INC(AP37:AP39,3)</f>
        <v>0.15500000000000003</v>
      </c>
      <c r="AQ42" s="56">
        <f>_xlfn.QUARTILE.INC(AQ37:AQ39,3)</f>
        <v>0.4328186374102668</v>
      </c>
      <c r="AR42" s="111">
        <f>_xlfn.QUARTILE.INC(AR37:AR39,3)</f>
        <v>9.42085553579134</v>
      </c>
      <c r="AS42" s="111">
        <f>_xlfn.QUARTILE.INC(AS37:AS39,3)</f>
        <v>8.487257239451658</v>
      </c>
      <c r="AT42" s="111"/>
      <c r="AU42" s="111">
        <f>_xlfn.QUARTILE.INC(AU37:AU39,3)</f>
        <v>21.048415606199825</v>
      </c>
    </row>
    <row r="43">
      <c r="C43" s="146"/>
      <c r="D43" s="146"/>
      <c r="E43" s="169"/>
      <c r="F43" s="147"/>
      <c r="G43" s="159"/>
      <c r="H43" s="159"/>
      <c r="I43" s="159"/>
      <c r="J43" s="148"/>
      <c r="K43" s="148"/>
      <c r="L43" s="159"/>
      <c r="M43" s="159"/>
      <c r="N43" s="146"/>
      <c r="AD43" s="54"/>
      <c r="AO43" s="56"/>
      <c r="AP43" s="56"/>
      <c r="AQ43" s="56"/>
      <c r="AR43" s="111"/>
      <c r="AS43" s="111"/>
      <c r="AT43" s="111"/>
      <c r="AU43" s="111"/>
    </row>
    <row r="44">
      <c r="B44" t="s" s="60">
        <v>107</v>
      </c>
      <c r="C44" s="170"/>
      <c r="D44" s="170"/>
      <c r="E44" s="172"/>
      <c r="F44" s="173"/>
      <c r="G44" s="174"/>
      <c r="H44" s="174"/>
      <c r="I44" s="174"/>
      <c r="J44" s="175"/>
      <c r="K44" s="175"/>
      <c r="L44" s="174"/>
      <c r="M44" s="174"/>
      <c r="N44" s="170"/>
      <c r="O44" s="60"/>
      <c r="V44" t="s" s="125">
        <v>117</v>
      </c>
      <c r="W44" s="125"/>
      <c r="X44" s="125"/>
      <c r="Y44" s="125"/>
      <c r="Z44" s="125"/>
      <c r="AA44" s="125"/>
      <c r="AB44" s="125"/>
      <c r="AC44" s="125"/>
      <c r="AD44" s="126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7"/>
      <c r="AP44" s="127"/>
      <c r="AQ44" s="127"/>
      <c r="AR44" s="128"/>
      <c r="AS44" s="128"/>
      <c r="AT44" s="128"/>
      <c r="AU44" s="128"/>
    </row>
    <row r="45">
      <c r="B45" t="s" s="186">
        <v>75</v>
      </c>
      <c r="C45" s="195"/>
      <c r="D45" s="195"/>
      <c r="E45" s="189">
        <f t="array" ref="E45">MEDIAN(IF(ISNUMBER(E$12:E$39)*($W$12:$W$39&lt;&gt;""),E$12:E$39))</f>
        <v>0.668541165668875</v>
      </c>
      <c r="F45" s="190"/>
      <c r="G45" s="191">
        <f t="array" ref="G45">MEDIAN(IF(ISNUMBER(G$12:G$39)*($W$12:$W$39&lt;&gt;""),G$12:G$39))</f>
        <v>0.11550000000000005</v>
      </c>
      <c r="H45" s="191">
        <f t="array" ref="H45">MEDIAN(IF(ISNUMBER(H$12:H$39)*($W$12:$W$39&lt;&gt;""),H$12:H$39))</f>
        <v>0.28490520446096657</v>
      </c>
      <c r="I45" s="191">
        <f t="array" ref="I45">MEDIAN(IF(ISNUMBER(I$12:I$39)*($W$12:$W$39&lt;&gt;""),I$12:I$39))</f>
        <v>0.4549173228346456</v>
      </c>
      <c r="J45" s="192">
        <f t="array" ref="J45">MEDIAN(IF(ISNUMBER(J$12:J$39)*($W$12:$W$39&lt;&gt;""),J$12:J$39))</f>
        <v>6.964577989874779</v>
      </c>
      <c r="K45" s="192">
        <f t="array" ref="K45">MEDIAN(IF(ISNUMBER(K$12:K$39)*($W$12:$W$39&lt;&gt;""),K$12:K$39))</f>
        <v>22.482254539898612</v>
      </c>
      <c r="L45" s="191"/>
      <c r="M45" s="191"/>
      <c r="N45" s="195"/>
      <c r="O45" s="186"/>
      <c r="V45" t="s" s="95">
        <v>75</v>
      </c>
      <c r="W45" s="95"/>
      <c r="X45" s="95"/>
      <c r="Y45" s="95"/>
      <c r="Z45" s="95"/>
      <c r="AA45" s="95"/>
      <c r="AB45" s="95"/>
      <c r="AC45" s="95"/>
      <c r="AD45" s="100">
        <f t="array" ref="AD45">MEDIAN(IF(ISNUMBER(AD$12:AD$39)*($W$12:$W$39&lt;&gt;""),AD$12:AD$39))</f>
        <v>0.668541165668875</v>
      </c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103">
        <f t="array" ref="AO45">MEDIAN(IF(ISNUMBER(AO$12:AO$39)*($W$12:$W$39&lt;&gt;""),AO$12:AO$39))</f>
        <v>0.14393888839853108</v>
      </c>
      <c r="AP45" s="103">
        <f t="array" ref="AP45">MEDIAN(IF(ISNUMBER(AP$12:AP$39)*($W$12:$W$39&lt;&gt;""),AP$12:AP$39))</f>
        <v>0.1200000000000001</v>
      </c>
      <c r="AQ45" s="103">
        <f t="array" ref="AQ45">MEDIAN(IF(ISNUMBER(AQ$12:AQ$39)*($W$12:$W$39&lt;&gt;""),AQ$12:AQ$39))</f>
        <v>0.28490520446096657</v>
      </c>
      <c r="AR45" s="110">
        <f t="array" ref="AR45">MEDIAN(IF(ISNUMBER(AR$12:AR$39)*($W$12:$W$39&lt;&gt;""),AR$12:AR$39))</f>
        <v>8.586022950169731</v>
      </c>
      <c r="AS45" s="110">
        <f t="array" ref="AS45">MEDIAN(IF(ISNUMBER(AS$12:AS$39)*($W$12:$W$39&lt;&gt;""),AS$12:AS$39))</f>
        <v>6.964577989874779</v>
      </c>
      <c r="AT45" s="110"/>
      <c r="AU45" s="110">
        <f t="array" ref="AU45">MEDIAN(IF(ISNUMBER(AU$12:AU$39)*($W$12:$W$39&lt;&gt;""),AU$12:AU$39))</f>
        <v>22.482254539898612</v>
      </c>
    </row>
    <row r="46">
      <c r="B46" t="s" s="168">
        <v>78</v>
      </c>
      <c r="C46" s="146"/>
      <c r="D46" s="146"/>
      <c r="E46" s="169">
        <f t="array" ref="E46">_xlfn.QUARTILE.INC(IF(ISNUMBER(E$12:E$39)*($W$12:$W$39&lt;&gt;""),E$12:E$39),1)</f>
        <v>0.5906843891402715</v>
      </c>
      <c r="F46" s="147"/>
      <c r="G46" s="159">
        <f t="array" ref="G46">_xlfn.QUARTILE.INC(IF(ISNUMBER(G$12:G$39)*($W$12:$W$39&lt;&gt;""),G$12:G$39),1)</f>
        <v>0.10250000000000009</v>
      </c>
      <c r="H46" s="159">
        <f t="array" ref="H46">_xlfn.QUARTILE.INC(IF(ISNUMBER(H$12:H$39)*($W$12:$W$39&lt;&gt;""),H$12:H$39),1)</f>
        <v>0.25575000000000003</v>
      </c>
      <c r="I46" s="159">
        <f t="array" ref="I46">_xlfn.QUARTILE.INC(IF(ISNUMBER(I$12:I$39)*($W$12:$W$39&lt;&gt;""),I$12:I$39),1)</f>
        <v>0.3707500000000001</v>
      </c>
      <c r="J46" s="148">
        <f t="array" ref="J46">_xlfn.QUARTILE.INC(IF(ISNUMBER(J$12:J$39)*($W$12:$W$39&lt;&gt;""),J$12:J$39),1)</f>
        <v>4.9674979925254785</v>
      </c>
      <c r="K46" s="148">
        <f t="array" ref="K46">_xlfn.QUARTILE.INC(IF(ISNUMBER(K$12:K$39)*($W$12:$W$39&lt;&gt;""),K$12:K$39),1)</f>
        <v>19.685912892188966</v>
      </c>
      <c r="L46" s="159"/>
      <c r="M46" s="159"/>
      <c r="N46" s="146"/>
      <c r="V46" t="s">
        <v>78</v>
      </c>
      <c r="AD46" s="54">
        <f t="array" ref="AD46">_xlfn.QUARTILE.INC(IF(ISNUMBER(AD$12:AD$39)*($W$12:$W$39&lt;&gt;""),AD$12:AD$39),1)</f>
        <v>0.5906843891402715</v>
      </c>
      <c r="AO46" s="56">
        <f t="array" ref="AO46">_xlfn.QUARTILE.INC(IF(ISNUMBER(AO$12:AO$39)*($W$12:$W$39&lt;&gt;""),AO$12:AO$39),1)</f>
        <v>0.09772791224404132</v>
      </c>
      <c r="AP46" s="56">
        <f t="array" ref="AP46">_xlfn.QUARTILE.INC(IF(ISNUMBER(AP$12:AP$39)*($W$12:$W$39&lt;&gt;""),AP$12:AP$39),1)</f>
        <v>0.10000000000000009</v>
      </c>
      <c r="AQ46" s="56">
        <f t="array" ref="AQ46">_xlfn.QUARTILE.INC(IF(ISNUMBER(AQ$12:AQ$39)*($W$12:$W$39&lt;&gt;""),AQ$12:AQ$39),1)</f>
        <v>0.25575000000000003</v>
      </c>
      <c r="AR46" s="111">
        <f t="array" ref="AR46">_xlfn.QUARTILE.INC(IF(ISNUMBER(AR$12:AR$39)*($W$12:$W$39&lt;&gt;""),AR$12:AR$39),1)</f>
        <v>5.602106316372248</v>
      </c>
      <c r="AS46" s="111">
        <f t="array" ref="AS46">_xlfn.QUARTILE.INC(IF(ISNUMBER(AS$12:AS$39)*($W$12:$W$39&lt;&gt;""),AS$12:AS$39),1)</f>
        <v>4.9674979925254785</v>
      </c>
      <c r="AT46" s="111"/>
      <c r="AU46" s="111">
        <f t="array" ref="AU46">_xlfn.QUARTILE.INC(IF(ISNUMBER(AU$12:AU$39)*($W$12:$W$39&lt;&gt;""),AU$12:AU$39),1)</f>
        <v>19.685912892188966</v>
      </c>
    </row>
    <row r="47">
      <c r="B47" t="s" s="168">
        <v>81</v>
      </c>
      <c r="C47" s="146"/>
      <c r="D47" s="146"/>
      <c r="E47" s="169">
        <f t="array" ref="E47">_xlfn.QUARTILE.INC(IF(ISNUMBER(E$12:E$39)*($W$12:$W$39&lt;&gt;""),E$12:E$39),3)</f>
        <v>0.8220855077235601</v>
      </c>
      <c r="F47" s="147"/>
      <c r="G47" s="159">
        <f t="array" ref="G47">_xlfn.QUARTILE.INC(IF(ISNUMBER(G$12:G$39)*($W$12:$W$39&lt;&gt;""),G$12:G$39),3)</f>
        <v>0.15999999999999992</v>
      </c>
      <c r="H47" s="159">
        <f t="array" ref="H47">_xlfn.QUARTILE.INC(IF(ISNUMBER(H$12:H$39)*($W$12:$W$39&lt;&gt;""),H$12:H$39),3)</f>
        <v>0.3922090440467709</v>
      </c>
      <c r="I47" s="159">
        <f t="array" ref="I47">_xlfn.QUARTILE.INC(IF(ISNUMBER(I$12:I$39)*($W$12:$W$39&lt;&gt;""),I$12:I$39),3)</f>
        <v>0.49405717488789247</v>
      </c>
      <c r="J47" s="148">
        <f t="array" ref="J47">_xlfn.QUARTILE.INC(IF(ISNUMBER(J$12:J$39)*($W$12:$W$39&lt;&gt;""),J$12:J$39),3)</f>
        <v>8.157063501370818</v>
      </c>
      <c r="K47" s="148">
        <f t="array" ref="K47">_xlfn.QUARTILE.INC(IF(ISNUMBER(K$12:K$39)*($W$12:$W$39&lt;&gt;""),K$12:K$39),3)</f>
        <v>26.357146348551947</v>
      </c>
      <c r="L47" s="159"/>
      <c r="M47" s="159"/>
      <c r="N47" s="146"/>
      <c r="V47" t="s">
        <v>81</v>
      </c>
      <c r="AD47" s="54">
        <f t="array" ref="AD47">_xlfn.QUARTILE.INC(IF(ISNUMBER(AD$12:AD$39)*($W$12:$W$39&lt;&gt;""),AD$12:AD$39),3)</f>
        <v>0.8220855077235601</v>
      </c>
      <c r="AO47" s="56">
        <f t="array" ref="AO47">_xlfn.QUARTILE.INC(IF(ISNUMBER(AO$12:AO$39)*($W$12:$W$39&lt;&gt;""),AO$12:AO$39),3)</f>
        <v>0.19382171440054163</v>
      </c>
      <c r="AP47" s="56">
        <f t="array" ref="AP47">_xlfn.QUARTILE.INC(IF(ISNUMBER(AP$12:AP$39)*($W$12:$W$39&lt;&gt;""),AP$12:AP$39),3)</f>
        <v>0.16999999999999993</v>
      </c>
      <c r="AQ47" s="56">
        <f t="array" ref="AQ47">_xlfn.QUARTILE.INC(IF(ISNUMBER(AQ$12:AQ$39)*($W$12:$W$39&lt;&gt;""),AQ$12:AQ$39),3)</f>
        <v>0.3922090440467709</v>
      </c>
      <c r="AR47" s="111">
        <f t="array" ref="AR47">_xlfn.QUARTILE.INC(IF(ISNUMBER(AR$12:AR$39)*($W$12:$W$39&lt;&gt;""),AR$12:AR$39),3)</f>
        <v>9.547894583782623</v>
      </c>
      <c r="AS47" s="111">
        <f t="array" ref="AS47">_xlfn.QUARTILE.INC(IF(ISNUMBER(AS$12:AS$39)*($W$12:$W$39&lt;&gt;""),AS$12:AS$39),3)</f>
        <v>8.157063501370818</v>
      </c>
      <c r="AT47" s="111"/>
      <c r="AU47" s="111">
        <f t="array" ref="AU47">_xlfn.QUARTILE.INC(IF(ISNUMBER(AU$12:AU$39)*($W$12:$W$39&lt;&gt;""),AU$12:AU$39),3)</f>
        <v>26.357146348551947</v>
      </c>
    </row>
    <row r="48">
      <c r="B48" t="s" s="23">
        <v>119</v>
      </c>
      <c r="C48" s="185"/>
      <c r="D48" s="185"/>
      <c r="E48" s="181">
        <f t="array" ref="E48">MEDIAN(IF(ISNUMBER(E$12:E$39)*($X$12:$X$39&lt;&gt;"–")*($W$12:$W$39&lt;&gt;""),E$12:E$39))</f>
        <v>0.6602616147947677</v>
      </c>
      <c r="F48" s="182"/>
      <c r="G48" s="183">
        <f t="array" ref="G48">MEDIAN(IF(ISNUMBER(G$12:G$39)*($X$12:$X$39&lt;&gt;"–")*($W$12:$W$39&lt;&gt;""),G$12:G$39))</f>
        <v>0.111</v>
      </c>
      <c r="H48" s="183">
        <f t="array" ref="H48">MEDIAN(IF(ISNUMBER(H$12:H$39)*($X$12:$X$39&lt;&gt;"–")*($W$12:$W$39&lt;&gt;""),H$12:H$39))</f>
        <v>0.258</v>
      </c>
      <c r="I48" s="183">
        <f t="array" ref="I48">MEDIAN(IF(ISNUMBER(I$12:I$39)*($X$12:$X$39&lt;&gt;"–")*($W$12:$W$39&lt;&gt;""),I$12:I$39))</f>
        <v>0.39100000000000007</v>
      </c>
      <c r="J48" s="184">
        <f t="array" ref="J48">MEDIAN(IF(ISNUMBER(J$12:J$39)*($X$12:$X$39&lt;&gt;"–")*($W$12:$W$39&lt;&gt;""),J$12:J$39))</f>
        <v>4.980183121463416</v>
      </c>
      <c r="K48" s="184">
        <f t="array" ref="K48">MEDIAN(IF(ISNUMBER(K$12:K$39)*($X$12:$X$39&lt;&gt;"–")*($W$12:$W$39&lt;&gt;""),K$12:K$39))</f>
        <v>22.48517533997114</v>
      </c>
      <c r="L48" s="183"/>
      <c r="M48" s="183"/>
      <c r="N48" s="185"/>
      <c r="O48" s="23"/>
      <c r="V48" t="s" s="130">
        <v>119</v>
      </c>
      <c r="W48" s="130"/>
      <c r="X48" s="130"/>
      <c r="Y48" s="130"/>
      <c r="Z48" s="130"/>
      <c r="AA48" s="130"/>
      <c r="AB48" s="130"/>
      <c r="AC48" s="130"/>
      <c r="AD48" s="131">
        <f t="array" ref="AD48">MEDIAN(IF(ISNUMBER(AD$12:AD$39)*(($X$12:$X$39="FS")+($X$12:$X$39="Other")),AD$12:AD$39))</f>
        <v>0.6602616147947677</v>
      </c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2">
        <f t="array" ref="AO48">MEDIAN(IF(ISNUMBER(AO$12:AO$39)*(($X$12:$X$39="FS")+($X$12:$X$39="Other")),AO$12:AO$39))</f>
        <v>0.13801662109906443</v>
      </c>
      <c r="AP48" s="132">
        <f t="array" ref="AP48">MEDIAN(IF(ISNUMBER(AP$12:AP$39)*(($X$12:$X$39="FS")+($X$12:$X$39="Other")),AP$12:AP$39))</f>
        <v>0.1100000000000001</v>
      </c>
      <c r="AQ48" s="132">
        <f t="array" ref="AQ48">MEDIAN(IF(ISNUMBER(AQ$12:AQ$39)*(($X$12:$X$39="FS")+($X$12:$X$39="Other")),AQ$12:AQ$39))</f>
        <v>0.258</v>
      </c>
      <c r="AR48" s="133">
        <f t="array" ref="AR48">MEDIAN(IF(ISNUMBER(AR$12:AR$39)*(($X$12:$X$39="FS")+($X$12:$X$39="Other")),AR$12:AR$39))</f>
        <v>5.818125973503994</v>
      </c>
      <c r="AS48" s="133">
        <f t="array" ref="AS48">MEDIAN(IF(ISNUMBER(AS$12:AS$39)*(($X$12:$X$39="FS")+($X$12:$X$39="Other")),AS$12:AS$39))</f>
        <v>4.980183121463416</v>
      </c>
      <c r="AT48" s="133"/>
      <c r="AU48" s="133">
        <f t="array" ref="AU48">MEDIAN(IF(ISNUMBER(AU$12:AU$39)*(($X$12:$X$39="FS")+($X$12:$X$39="Other")),AU$12:AU$39))</f>
        <v>22.48517533997114</v>
      </c>
    </row>
    <row r="49">
      <c r="B49" t="s" s="23">
        <v>170</v>
      </c>
      <c r="C49" s="185"/>
      <c r="D49" s="185"/>
      <c r="E49" s="181">
        <f t="array" ref="E49">MEDIAN(IF(ISNUMBER(E$12:E$39)*(LEFT($Y$12:$Y$39,2)&lt;&gt;"FS")*($Y$12:$Y$39&lt;&gt;"–")*($W$12:$W$39&lt;&gt;""),E$12:E$39))</f>
        <v>0.7912390716610651</v>
      </c>
      <c r="F49" s="182"/>
      <c r="G49" s="183">
        <f t="array" ref="G49">MEDIAN(IF(ISNUMBER(G$12:G$39)*(LEFT($Y$12:$Y$39,2)&lt;&gt;"FS")*($Y$12:$Y$39&lt;&gt;"–")*($W$12:$W$39&lt;&gt;""),G$12:G$39))</f>
        <v>0.125</v>
      </c>
      <c r="H49" s="183">
        <f t="array" ref="H49">MEDIAN(IF(ISNUMBER(H$12:H$39)*(LEFT($Y$12:$Y$39,2)&lt;&gt;"FS")*($Y$12:$Y$39&lt;&gt;"–")*($W$12:$W$39&lt;&gt;""),H$12:H$39))</f>
        <v>0.3349173228346456</v>
      </c>
      <c r="I49" s="183">
        <f t="array" ref="I49">MEDIAN(IF(ISNUMBER(I$12:I$39)*(LEFT($Y$12:$Y$39,2)&lt;&gt;"FS")*($Y$12:$Y$39&lt;&gt;"–")*($W$12:$W$39&lt;&gt;""),I$12:I$39))</f>
        <v>0.46939443276333664</v>
      </c>
      <c r="J49" s="184">
        <f t="array" ref="J49">MEDIAN(IF(ISNUMBER(J$12:J$39)*(LEFT($Y$12:$Y$39,2)&lt;&gt;"FS")*($Y$12:$Y$39&lt;&gt;"–")*($W$12:$W$39&lt;&gt;""),J$12:J$39))</f>
        <v>8.13518769689767</v>
      </c>
      <c r="K49" s="184">
        <f t="array" ref="K49">MEDIAN(IF(ISNUMBER(K$12:K$39)*(LEFT($Y$12:$Y$39,2)&lt;&gt;"FS")*($Y$12:$Y$39&lt;&gt;"–")*($W$12:$W$39&lt;&gt;""),K$12:K$39))</f>
        <v>25.070513014567048</v>
      </c>
      <c r="L49" s="183"/>
      <c r="M49" s="183"/>
      <c r="N49" s="185"/>
      <c r="O49" s="23"/>
      <c r="V49" t="s">
        <v>120</v>
      </c>
      <c r="AD49" s="54">
        <f t="array" ref="AD49">MEDIAN(IF(ISNUMBER(AD$12:AD$39)*(($Y$12:$Y$39="Vertical")+($Y$12:$Y$39="Other")),AD$12:AD$39))</f>
        <v>0.7912390716610651</v>
      </c>
      <c r="AO49" s="56">
        <f t="array" ref="AO49">MEDIAN(IF(ISNUMBER(AO$12:AO$39)*(($Y$12:$Y$39="Vertical")+($Y$12:$Y$39="Other")),AO$12:AO$39))</f>
        <v>0.16519385536069342</v>
      </c>
      <c r="AP49" s="56">
        <f t="array" ref="AP49">MEDIAN(IF(ISNUMBER(AP$12:AP$39)*(($Y$12:$Y$39="Vertical")+($Y$12:$Y$39="Other")),AP$12:AP$39))</f>
        <v>0.125</v>
      </c>
      <c r="AQ49" s="56">
        <f t="array" ref="AQ49">MEDIAN(IF(ISNUMBER(AQ$12:AQ$39)*(($Y$12:$Y$39="Vertical")+($Y$12:$Y$39="Other")),AQ$12:AQ$39))</f>
        <v>0.3349173228346456</v>
      </c>
      <c r="AR49" s="111">
        <f t="array" ref="AR49">MEDIAN(IF(ISNUMBER(AR$12:AR$39)*(($Y$12:$Y$39="Vertical")+($Y$12:$Y$39="Other")),AR$12:AR$39))</f>
        <v>9.313258606634712</v>
      </c>
      <c r="AS49" s="111">
        <f t="array" ref="AS49">MEDIAN(IF(ISNUMBER(AS$12:AS$39)*(($Y$12:$Y$39="Vertical")+($Y$12:$Y$39="Other")),AS$12:AS$39))</f>
        <v>8.13518769689767</v>
      </c>
      <c r="AT49" s="111"/>
      <c r="AU49" s="111">
        <f t="array" ref="AU49">MEDIAN(IF(ISNUMBER(AU$12:AU$39)*(($Y$12:$Y$39="Vertical")+($Y$12:$Y$39="Other")),AU$12:AU$39))</f>
        <v>25.070513014567048</v>
      </c>
    </row>
    <row r="50">
      <c r="B50" t="s" s="196">
        <v>171</v>
      </c>
      <c r="C50" s="197"/>
      <c r="D50" s="197"/>
      <c r="E50" s="198">
        <f t="array" ref="E50">MEDIAN(IF(($N$12:$N$39="Fair comp")*ISNUMBER(E$12:E$39),E$12:E$39))</f>
        <v>0.7888283378746594</v>
      </c>
      <c r="F50" s="199"/>
      <c r="G50" s="200">
        <f t="array" ref="G50">MEDIAN(IF(($N$12:$N$39="Fair comp")*ISNUMBER(G$12:G$39),G$12:G$39))</f>
        <v>0.16999999999999993</v>
      </c>
      <c r="H50" s="200">
        <f t="array" ref="H50">MEDIAN(IF(($N$12:$N$39="Fair comp")*ISNUMBER(H$12:H$39),H$12:H$39))</f>
        <v>0.3228346456692913</v>
      </c>
      <c r="I50" s="200">
        <f t="array" ref="I50">MEDIAN(IF(($N$12:$N$39="Fair comp")*ISNUMBER(I$12:I$39),I$12:I$39))</f>
        <v>0.4655601659751037</v>
      </c>
      <c r="J50" s="201">
        <f t="array" ref="J50">MEDIAN(IF(($N$12:$N$39="Fair comp")*ISNUMBER(J$12:J$39),J$12:J$39))</f>
        <v>8.091436087951378</v>
      </c>
      <c r="K50" s="201">
        <f t="array" ref="K50">MEDIAN(IF(($N$12:$N$39="Fair comp")*ISNUMBER(K$12:K$39),K$12:K$39))</f>
        <v>24.66778416575587</v>
      </c>
      <c r="L50" s="183"/>
      <c r="M50" s="183"/>
      <c r="N50" s="185"/>
      <c r="O50" s="23"/>
    </row>
    <row r="51">
      <c r="B51" t="s" s="202">
        <v>172</v>
      </c>
      <c r="C51" s="203"/>
      <c r="D51" s="203"/>
      <c r="E51" s="204">
        <f t="array" ref="E51">_xlfn.QUARTILE.INC(IF(($N$12:$N$39="Fair comp")*ISNUMBER(E$12:E$39),E$12:E$39),1)</f>
        <v>0.6375198312943411</v>
      </c>
      <c r="F51" s="205"/>
      <c r="G51" s="206">
        <f t="array" ref="G51">_xlfn.QUARTILE.INC(IF(($N$12:$N$39="Fair comp")*ISNUMBER(G$12:G$39),G$12:G$39),1)</f>
        <v>0.12</v>
      </c>
      <c r="H51" s="206">
        <f t="array" ref="H51">_xlfn.QUARTILE.INC(IF(($N$12:$N$39="Fair comp")*ISNUMBER(H$12:H$39),H$12:H$39),1)</f>
        <v>0.2756121010126907</v>
      </c>
      <c r="I51" s="206">
        <f t="array" ref="I51">_xlfn.QUARTILE.INC(IF(($N$12:$N$39="Fair comp")*ISNUMBER(I$12:I$39),I$12:I$39),1)</f>
        <v>0.4558225272956121</v>
      </c>
      <c r="J51" s="207">
        <f t="array" ref="J51">_xlfn.QUARTILE.INC(IF(($N$12:$N$39="Fair comp")*ISNUMBER(J$12:J$39),J$12:J$39),1)</f>
        <v>7.043647965551349</v>
      </c>
      <c r="K51" s="207">
        <f t="array" ref="K51">_xlfn.QUARTILE.INC(IF(($N$12:$N$39="Fair comp")*ISNUMBER(K$12:K$39),K$12:K$39),1)</f>
        <v>22.11196031651631</v>
      </c>
      <c r="L51" s="159"/>
      <c r="M51" s="159"/>
      <c r="N51" s="146"/>
    </row>
    <row r="52">
      <c r="B52" t="s" s="202">
        <v>173</v>
      </c>
      <c r="C52" s="203"/>
      <c r="D52" s="203"/>
      <c r="E52" s="204">
        <f t="array" ref="E52">_xlfn.QUARTILE.INC(IF(($N$12:$N$39="Fair comp")*ISNUMBER(E$12:E$39),E$12:E$39),3)</f>
        <v>0.812606940298197</v>
      </c>
      <c r="F52" s="205"/>
      <c r="G52" s="206">
        <f t="array" ref="G52">_xlfn.QUARTILE.INC(IF(($N$12:$N$39="Fair comp")*ISNUMBER(G$12:G$39),G$12:G$39),3)</f>
        <v>0.17499999999999993</v>
      </c>
      <c r="H52" s="206">
        <f t="array" ref="H52">_xlfn.QUARTILE.INC(IF(($N$12:$N$39="Fair comp")*ISNUMBER(H$12:H$39),H$12:H$39),3)</f>
        <v>0.3551143497757847</v>
      </c>
      <c r="I52" s="206">
        <f t="array" ref="I52">_xlfn.QUARTILE.INC(IF(($N$12:$N$39="Fair comp")*ISNUMBER(I$12:I$39),I$12:I$39),3)</f>
        <v>0.49254892921503723</v>
      </c>
      <c r="J52" s="207">
        <f t="array" ref="J52">_xlfn.QUARTILE.INC(IF(($N$12:$N$39="Fair comp")*ISNUMBER(J$12:J$39),J$12:J$39),3)</f>
        <v>8.715775910620719</v>
      </c>
      <c r="K52" s="207">
        <f t="array" ref="K52">_xlfn.QUARTILE.INC(IF(($N$12:$N$39="Fair comp")*ISNUMBER(K$12:K$39),K$12:K$39),3)</f>
        <v>27.247262982748587</v>
      </c>
      <c r="L52" s="159"/>
      <c r="M52" s="159"/>
      <c r="N52" s="146"/>
    </row>
    <row r="53">
      <c r="B53" t="s" s="23">
        <v>174</v>
      </c>
      <c r="C53" s="185"/>
      <c r="D53" s="185"/>
      <c r="E53" s="181">
        <f t="array" ref="E53">MEDIAN(IF(($N$12:$N$39="Flatters price")*ISNUMBER(E$12:E$39),E$12:E$39))</f>
        <v>0.6146810506566605</v>
      </c>
      <c r="F53" s="182"/>
      <c r="G53" s="183">
        <f t="array" ref="G53">MEDIAN(IF(($N$12:$N$39="Flatters price")*ISNUMBER(G$12:G$39),G$12:G$39))</f>
        <v>0.10000000000000009</v>
      </c>
      <c r="H53" s="183">
        <f t="array" ref="H53">MEDIAN(IF(($N$12:$N$39="Flatters price")*ISNUMBER(H$12:H$39),H$12:H$39))</f>
        <v>0.255</v>
      </c>
      <c r="I53" s="183">
        <f t="array" ref="I53">MEDIAN(IF(($N$12:$N$39="Flatters price")*ISNUMBER(I$12:I$39),I$12:I$39))</f>
        <v>0.3640000000000001</v>
      </c>
      <c r="J53" s="184">
        <f t="array" ref="J53">MEDIAN(IF(($N$12:$N$39="Flatters price")*ISNUMBER(J$12:J$39),J$12:J$39))</f>
        <v>4.963269616212832</v>
      </c>
      <c r="K53" s="184">
        <f t="array" ref="K53">MEDIAN(IF(($N$12:$N$39="Flatters price")*ISNUMBER(K$12:K$39),K$12:K$39))</f>
        <v>21.261964871866592</v>
      </c>
      <c r="L53" s="183"/>
      <c r="M53" s="183"/>
      <c r="N53" s="185"/>
      <c r="O53" s="23"/>
    </row>
    <row r="54">
      <c r="B54" t="s">
        <v>175</v>
      </c>
      <c r="C54" s="146"/>
      <c r="D54" s="176">
        <f>COUNTIF($N$12:$N$39,"Fair comp")</f>
        <v>7</v>
      </c>
      <c r="E54" s="176">
        <f>COUNTIF($N$12:$N$39,"Flatters price")</f>
        <v>9</v>
      </c>
      <c r="F54" s="176">
        <f>COUNTIF($N$12:$N$39,"Not comparable")</f>
        <v>2</v>
      </c>
      <c r="G54" s="146"/>
      <c r="H54" s="146"/>
      <c r="I54" s="146"/>
      <c r="J54" s="146"/>
      <c r="K54" s="146"/>
      <c r="L54" s="146"/>
      <c r="M54" s="146"/>
      <c r="N54" s="146"/>
    </row>
    <row r="55"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</row>
    <row r="56">
      <c r="B56" t="s" s="125">
        <v>176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25"/>
      <c r="V56" t="s" s="125">
        <v>133</v>
      </c>
      <c r="W56" s="125"/>
      <c r="X56" s="125"/>
    </row>
    <row r="57">
      <c r="B57" t="s">
        <v>177</v>
      </c>
      <c r="C57" s="146"/>
      <c r="D57" s="167">
        <v>0.153</v>
      </c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V57" t="s">
        <v>134</v>
      </c>
      <c r="X57" s="73">
        <v>16.69</v>
      </c>
    </row>
    <row r="58">
      <c r="B58" t="s">
        <v>178</v>
      </c>
      <c r="C58" s="146"/>
      <c r="D58" s="158">
        <f>X78/X77</f>
        <v>0.3595744680851064</v>
      </c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V58" t="s">
        <v>135</v>
      </c>
      <c r="X58" s="73">
        <v>24.55</v>
      </c>
    </row>
    <row r="59">
      <c r="B59" t="s">
        <v>179</v>
      </c>
      <c r="C59" s="146"/>
      <c r="D59" s="158">
        <f>D57+D58</f>
        <v>0.5125744680851064</v>
      </c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V59" t="s">
        <v>767</v>
      </c>
      <c r="X59" s="284">
        <f>'Banker ranges'!H27</f>
        <v>32.75</v>
      </c>
    </row>
    <row r="60">
      <c r="B60" t="s">
        <v>180</v>
      </c>
      <c r="C60" s="146"/>
      <c r="D60" s="210">
        <v>0.05</v>
      </c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V60" t="s">
        <v>137</v>
      </c>
      <c r="X60" s="135">
        <v>288632333</v>
      </c>
    </row>
    <row r="61">
      <c r="B61" t="s">
        <v>181</v>
      </c>
      <c r="C61" s="146"/>
      <c r="D61" s="210">
        <v>0.1</v>
      </c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V61" t="s">
        <v>138</v>
      </c>
      <c r="X61" s="135">
        <v>4506422</v>
      </c>
    </row>
    <row r="62">
      <c r="B62" t="s">
        <v>182</v>
      </c>
      <c r="C62" s="146"/>
      <c r="D62" s="148">
        <f>J9</f>
        <v>8.971346739117022</v>
      </c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V62" t="s">
        <v>139</v>
      </c>
      <c r="X62" s="135">
        <v>8547355</v>
      </c>
    </row>
    <row r="63">
      <c r="B63" t="s">
        <v>183</v>
      </c>
      <c r="C63" s="146"/>
      <c r="D63" s="148">
        <f>J8</f>
        <v>6.35194895169149</v>
      </c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V63" t="s">
        <v>140</v>
      </c>
      <c r="X63" s="135">
        <v>3984521</v>
      </c>
    </row>
    <row r="64"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V64" t="s">
        <v>141</v>
      </c>
      <c r="X64" s="135">
        <v>7590682</v>
      </c>
    </row>
    <row r="65">
      <c r="B65" t="s" s="125">
        <v>225</v>
      </c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25"/>
      <c r="V65" t="s">
        <v>142</v>
      </c>
      <c r="X65" s="73">
        <v>9.09</v>
      </c>
    </row>
    <row r="66">
      <c r="B66" t="s" s="10">
        <v>226</v>
      </c>
      <c r="C66" t="s" s="11">
        <v>241</v>
      </c>
      <c r="D66" t="s" s="11">
        <v>123</v>
      </c>
      <c r="E66" t="s" s="11">
        <v>124</v>
      </c>
      <c r="F66" t="s" s="11">
        <v>125</v>
      </c>
      <c r="G66" t="s" s="11">
        <v>126</v>
      </c>
      <c r="H66" t="s" s="11">
        <v>127</v>
      </c>
      <c r="I66" t="s" s="11">
        <v>128</v>
      </c>
      <c r="J66" t="s" s="11">
        <v>129</v>
      </c>
      <c r="K66" s="146"/>
      <c r="L66" s="146"/>
      <c r="M66" s="146"/>
      <c r="N66" s="146"/>
      <c r="V66" t="s">
        <v>143</v>
      </c>
      <c r="X66" s="136">
        <v>16.7</v>
      </c>
    </row>
    <row r="67">
      <c r="B67" t="s">
        <v>227</v>
      </c>
      <c r="C67" s="147">
        <f>$X$77</f>
        <v>940</v>
      </c>
      <c r="D67" s="148">
        <f>J51</f>
        <v>7.043647965551349</v>
      </c>
      <c r="E67" s="148">
        <f>J50</f>
        <v>8.091436087951378</v>
      </c>
      <c r="F67" s="148">
        <f>J52</f>
        <v>8.715775910620719</v>
      </c>
      <c r="G67" s="149">
        <f>((D67*C67-($X$67-$X$68-$X$69))+$X$64/10^6*$X$65-$X$66)/(($X$60+$X$61+$X$62+$X$63+$X$64)/10^6)</f>
        <v>18.765574116706418</v>
      </c>
      <c r="H67" s="149">
        <f>((E67*C67-($X$67-$X$68-$X$69))+$X$64/10^6*$X$65-$X$66)/(($X$60+$X$61+$X$62+$X$63+$X$64)/10^6)</f>
        <v>21.909661159002724</v>
      </c>
      <c r="I67" s="149">
        <f>((F67*C67-($X$67-$X$68-$X$69))+$X$64/10^6*$X$65-$X$66)/(($X$60+$X$61+$X$62+$X$63+$X$64)/10^6)</f>
        <v>23.783111243498738</v>
      </c>
      <c r="J67" s="159">
        <f>$D$9/H67-1</f>
        <v>0.12051025444144559</v>
      </c>
      <c r="K67" s="146"/>
      <c r="L67" s="146"/>
      <c r="M67" s="146"/>
      <c r="N67" s="146"/>
      <c r="V67" t="s">
        <v>144</v>
      </c>
      <c r="X67" s="136">
        <v>859</v>
      </c>
    </row>
    <row r="68">
      <c r="B68" t="s">
        <v>228</v>
      </c>
      <c r="C68" s="147">
        <f>$X$78</f>
        <v>338</v>
      </c>
      <c r="D68" s="148">
        <f>K51</f>
        <v>22.11196031651631</v>
      </c>
      <c r="E68" s="148">
        <f>K50</f>
        <v>24.66778416575587</v>
      </c>
      <c r="F68" s="148">
        <f>K52</f>
        <v>27.247262982748587</v>
      </c>
      <c r="G68" s="149">
        <f>((D68*C68-($X$67-$X$68-$X$69))+$X$64/10^6*$X$65-$X$66)/(($X$60+$X$61+$X$62+$X$63+$X$64)/10^6)</f>
        <v>21.48794507019931</v>
      </c>
      <c r="H68" s="149">
        <f>((E68*C68-($X$67-$X$68-$X$69))+$X$64/10^6*$X$65-$X$66)/(($X$60+$X$61+$X$62+$X$63+$X$64)/10^6)</f>
        <v>24.24560592774341</v>
      </c>
      <c r="I68" s="149">
        <f>((F68*C68-($X$67-$X$68-$X$69))+$X$64/10^6*$X$65-$X$66)/(($X$60+$X$61+$X$62+$X$63+$X$64)/10^6)</f>
        <v>27.028789819153392</v>
      </c>
      <c r="J68" s="159">
        <f>$D$9/H68-1</f>
        <v>0.012554607757122804</v>
      </c>
      <c r="K68" s="146"/>
      <c r="L68" s="146"/>
      <c r="M68" s="146"/>
      <c r="N68" s="146"/>
      <c r="V68" t="s">
        <v>145</v>
      </c>
      <c r="X68" s="136">
        <v>60.8</v>
      </c>
    </row>
    <row r="69">
      <c r="B69" t="s">
        <v>229</v>
      </c>
      <c r="C69" s="147">
        <f>$X$77</f>
        <v>940</v>
      </c>
      <c r="D69" s="148">
        <f>J46</f>
        <v>4.9674979925254785</v>
      </c>
      <c r="E69" s="148">
        <f>J45</f>
        <v>6.964577989874779</v>
      </c>
      <c r="F69" s="148">
        <f>J47</f>
        <v>8.157063501370818</v>
      </c>
      <c r="G69" s="149">
        <f>((D69*C69-($X$67-$X$68-$X$69))+$X$64/10^6*$X$65-$X$66)/(($X$60+$X$61+$X$62+$X$63+$X$64)/10^6)</f>
        <v>12.535692246025764</v>
      </c>
      <c r="H69" s="149">
        <f>((E69*C69-($X$67-$X$68-$X$69))+$X$64/10^6*$X$65-$X$66)/(($X$60+$X$61+$X$62+$X$63+$X$64)/10^6)</f>
        <v>18.528309653935125</v>
      </c>
      <c r="I69" s="149">
        <f>((F69*C69-($X$67-$X$68-$X$69))+$X$64/10^6*$X$65-$X$66)/(($X$60+$X$61+$X$62+$X$63+$X$64)/10^6)</f>
        <v>22.10658866346694</v>
      </c>
      <c r="J69" s="159">
        <f>$D$9/H69-1</f>
        <v>0.3249994445546176</v>
      </c>
      <c r="K69" s="146"/>
      <c r="L69" s="146"/>
      <c r="M69" s="146"/>
      <c r="N69" s="146"/>
      <c r="V69" t="s">
        <v>146</v>
      </c>
      <c r="X69" s="136">
        <v>3.4</v>
      </c>
    </row>
    <row r="70">
      <c r="B70" t="s">
        <v>230</v>
      </c>
      <c r="C70" s="147">
        <f>$X$78</f>
        <v>338</v>
      </c>
      <c r="D70" s="148">
        <f>K46</f>
        <v>19.685912892188966</v>
      </c>
      <c r="E70" s="148">
        <f>K45</f>
        <v>22.482254539898612</v>
      </c>
      <c r="F70" s="148">
        <f>K47</f>
        <v>26.357146348551947</v>
      </c>
      <c r="G70" s="149">
        <f>((D70*C70-($X$67-$X$68-$X$69))+$X$64/10^6*$X$65-$X$66)/(($X$60+$X$61+$X$62+$X$63+$X$64)/10^6)</f>
        <v>18.87030926458471</v>
      </c>
      <c r="H70" s="149">
        <f>((E70*C70-($X$67-$X$68-$X$69))+$X$64/10^6*$X$65-$X$66)/(($X$60+$X$61+$X$62+$X$63+$X$64)/10^6)</f>
        <v>21.887481949824206</v>
      </c>
      <c r="I70" s="149">
        <f>((F70*C70-($X$67-$X$68-$X$69))+$X$64/10^6*$X$65-$X$66)/(($X$60+$X$61+$X$62+$X$63+$X$64)/10^6)</f>
        <v>26.068379420955047</v>
      </c>
      <c r="J70" s="159">
        <f>$D$9/H70-1</f>
        <v>0.12164569941300063</v>
      </c>
      <c r="K70" s="146"/>
      <c r="L70" s="146"/>
      <c r="M70" s="146"/>
      <c r="N70" s="146"/>
      <c r="V70" t="s">
        <v>147</v>
      </c>
      <c r="X70" s="136">
        <v>451.803</v>
      </c>
    </row>
    <row r="71">
      <c r="B71" t="s">
        <v>231</v>
      </c>
      <c r="C71" s="147">
        <f>$X$77</f>
        <v>940</v>
      </c>
      <c r="D71" s="148"/>
      <c r="E71" s="148">
        <f>J53</f>
        <v>4.963269616212832</v>
      </c>
      <c r="F71" s="148"/>
      <c r="G71" s="149"/>
      <c r="H71" s="149">
        <f>((E71*C71-($X$67-$X$68-$X$69))+$X$64/10^6*$X$65-$X$66)/(($X$60+$X$61+$X$62+$X$63+$X$64)/10^6)</f>
        <v>12.523004200713617</v>
      </c>
      <c r="I71" s="149"/>
      <c r="J71" s="159">
        <f>$D$9/H71-1</f>
        <v>0.960392219512394</v>
      </c>
      <c r="K71" s="146"/>
      <c r="L71" s="146"/>
      <c r="M71" s="146"/>
      <c r="N71" s="146"/>
      <c r="V71" t="s">
        <v>148</v>
      </c>
      <c r="X71" s="136">
        <v>731</v>
      </c>
    </row>
    <row r="72">
      <c r="B72" t="s">
        <v>232</v>
      </c>
      <c r="C72" s="147">
        <f>$X$78</f>
        <v>338</v>
      </c>
      <c r="D72" s="148"/>
      <c r="E72" s="148">
        <f>K53</f>
        <v>21.261964871866592</v>
      </c>
      <c r="F72" s="148"/>
      <c r="G72" s="149"/>
      <c r="H72" s="149">
        <f>((E72*C72-($X$67-$X$68-$X$69))+$X$64/10^6*$X$65-$X$66)/(($X$60+$X$61+$X$62+$X$63+$X$64)/10^6)</f>
        <v>20.57082428838223</v>
      </c>
      <c r="I72" s="149"/>
      <c r="J72" s="159">
        <f>$D$9/H72-1</f>
        <v>0.1934378348593977</v>
      </c>
      <c r="K72" s="146"/>
      <c r="L72" s="146"/>
      <c r="M72" s="146"/>
      <c r="N72" s="146"/>
      <c r="V72" t="s">
        <v>149</v>
      </c>
      <c r="X72" s="136">
        <v>247</v>
      </c>
    </row>
    <row r="73"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V73" t="s">
        <v>150</v>
      </c>
      <c r="X73" s="136">
        <v>947</v>
      </c>
    </row>
    <row r="74">
      <c r="B74" t="s" s="125">
        <v>233</v>
      </c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25"/>
      <c r="V74" t="s">
        <v>151</v>
      </c>
      <c r="X74" s="136">
        <v>333</v>
      </c>
    </row>
    <row r="75">
      <c r="B75" t="s">
        <v>234</v>
      </c>
      <c r="C75" s="146"/>
      <c r="D75" s="177">
        <f t="array" ref="D75">SLOPE(IF(ISNUMBER($J$12:$J$39)*ISNUMBER($I$12:$I$39)*($W$12:$W$39&lt;&gt;""),$J$12:$J$39),IF(ISNUMBER($J$12:$J$39)*ISNUMBER($I$12:$I$39)*($W$12:$W$39&lt;&gt;""),$I$12:$I$39))</f>
        <v>21.30501160786026</v>
      </c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V75" t="s">
        <v>152</v>
      </c>
      <c r="X75" s="136">
        <v>730</v>
      </c>
    </row>
    <row r="76">
      <c r="B76" t="s">
        <v>235</v>
      </c>
      <c r="C76" s="146"/>
      <c r="D76" s="278">
        <f t="array" ref="D76">INTERCEPT(IF(ISNUMBER($J$12:$J$39)*ISNUMBER($I$12:$I$39)*($W$12:$W$39&lt;&gt;""),$J$12:$J$39),IF(ISNUMBER($J$12:$J$39)*ISNUMBER($I$12:$I$39)*($W$12:$W$39&lt;&gt;""),$I$12:$I$39))</f>
        <v>-2.3791189058572946</v>
      </c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V76" t="s">
        <v>153</v>
      </c>
      <c r="X76" s="136">
        <v>248</v>
      </c>
    </row>
    <row r="77">
      <c r="B77" t="s">
        <v>236</v>
      </c>
      <c r="C77" s="146"/>
      <c r="D77" s="177">
        <f t="array" ref="D77">RSQ(IF(ISNUMBER($J$12:$J$39)*ISNUMBER($I$12:$I$39)*($W$12:$W$39&lt;&gt;""),$J$12:$J$39),IF(ISNUMBER($J$12:$J$39)*ISNUMBER($I$12:$I$39)*($W$12:$W$39&lt;&gt;""),$I$12:$I$39))</f>
        <v>0.4159797773565763</v>
      </c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V77" t="s">
        <v>154</v>
      </c>
      <c r="X77" s="136">
        <v>940</v>
      </c>
    </row>
    <row r="78">
      <c r="B78" t="s">
        <v>237</v>
      </c>
      <c r="C78" s="146"/>
      <c r="D78" s="158">
        <f>D59</f>
        <v>0.5125744680851064</v>
      </c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V78" t="s">
        <v>155</v>
      </c>
      <c r="X78" s="136">
        <v>338</v>
      </c>
    </row>
    <row r="79">
      <c r="B79" t="s">
        <v>238</v>
      </c>
      <c r="C79" s="146"/>
      <c r="D79" s="148">
        <f>D76+D75*D78</f>
        <v>8.541286086588695</v>
      </c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V79" t="s">
        <v>161</v>
      </c>
      <c r="X79" s="137">
        <v>1.1545</v>
      </c>
    </row>
    <row r="80">
      <c r="B80" t="s">
        <v>239</v>
      </c>
      <c r="C80" s="146"/>
      <c r="D80" s="149">
        <f>((D79*$X$77-($X$67-$X$68-$X$69))+$X$64/10^6*$X$65-$X$66)/(($X$60+$X$61+$X$62+$X$63+$X$64)/10^6)</f>
        <v>23.25952142316844</v>
      </c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V80" t="s">
        <v>162</v>
      </c>
      <c r="X80" s="137">
        <v>1.4029</v>
      </c>
    </row>
    <row r="81">
      <c r="B81" t="s">
        <v>240</v>
      </c>
      <c r="C81" s="146"/>
      <c r="D81" s="159">
        <f>$D$9/D80-1</f>
        <v>0.05548173383937871</v>
      </c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>
      <c r="V82" t="s" s="125">
        <v>158</v>
      </c>
      <c r="W82" s="125"/>
    </row>
    <row r="83">
      <c r="V83" t="s">
        <v>661</v>
      </c>
      <c r="W83" s="111">
        <f>J9</f>
        <v>8.971346739117022</v>
      </c>
    </row>
    <row r="84">
      <c r="V84" t="s">
        <v>662</v>
      </c>
      <c r="W84" s="111">
        <f>J8</f>
        <v>6.35194895169149</v>
      </c>
    </row>
    <row r="85">
      <c r="V85" t="str">
        <f>V12</f>
        <v>Guidewire Software</v>
      </c>
      <c r="W85" s="111">
        <f>AS12</f>
        <v>12.369700034849902</v>
      </c>
    </row>
    <row r="86">
      <c r="V86" t="str">
        <f>V13</f>
        <v>Intapp</v>
      </c>
      <c r="W86" s="111">
        <f>AS13</f>
        <v>4.9576162091789815</v>
      </c>
    </row>
    <row r="87">
      <c r="V87" t="str">
        <f>V14</f>
        <v>Q2 Holdings</v>
      </c>
      <c r="W87" s="111">
        <f>AS14</f>
        <v>5.485586936941581</v>
      </c>
    </row>
    <row r="88">
      <c r="V88" t="str">
        <f>V15</f>
        <v>CCC Intelligent Solutions</v>
      </c>
      <c r="W88" s="111">
        <f>AS15</f>
        <v>4.980183121463416</v>
      </c>
    </row>
    <row r="89">
      <c r="V89" t="str">
        <f>V16</f>
        <v>nCino</v>
      </c>
      <c r="W89" s="111">
        <f>AS16</f>
        <v>4.963269616212832</v>
      </c>
    </row>
    <row r="90">
      <c r="V90" t="str">
        <f>V17</f>
        <v>Alkami Technology</v>
      </c>
      <c r="W90" s="111">
        <f>AS17</f>
        <v>4.249698139254545</v>
      </c>
    </row>
    <row r="91">
      <c r="V91" t="str">
        <f>V18</f>
        <v>SS&amp;C Technologies</v>
      </c>
      <c r="W91" s="111">
        <f>AS18</f>
        <v>4.184875942130133</v>
      </c>
    </row>
    <row r="92">
      <c r="V92" t="str">
        <f>V24</f>
        <v>Veeva Systems</v>
      </c>
      <c r="W92" s="111">
        <f>AS24</f>
        <v>12.339774684924695</v>
      </c>
    </row>
    <row r="93">
      <c r="V93" t="str">
        <f>V25</f>
        <v>Nemetschek</v>
      </c>
      <c r="W93" s="111">
        <f>AS25</f>
        <v>7.963615360598351</v>
      </c>
    </row>
    <row r="94">
      <c r="V94" t="str">
        <f>V26</f>
        <v>Bentley Systems</v>
      </c>
      <c r="W94" s="111">
        <f>AS26</f>
        <v>9.252612515397473</v>
      </c>
    </row>
    <row r="95">
      <c r="V95" t="str">
        <f>V27</f>
        <v>Procore Technologies</v>
      </c>
      <c r="W95" s="111">
        <f>AS27</f>
        <v>7.928388893315144</v>
      </c>
    </row>
    <row r="96">
      <c r="V96" t="str">
        <f>V28</f>
        <v>Cellebrite</v>
      </c>
      <c r="W96" s="111">
        <f>AS28</f>
        <v>6.123680570504348</v>
      </c>
    </row>
    <row r="97">
      <c r="V97" t="str">
        <f>V29</f>
        <v>Tyler Technologies</v>
      </c>
      <c r="W97" s="111">
        <f>AS29</f>
        <v>7.80547540924521</v>
      </c>
    </row>
    <row r="98">
      <c r="V98" t="str">
        <f>V30</f>
        <v>AppFolio</v>
      </c>
      <c r="W98" s="111">
        <f>AS30</f>
        <v>8.091436087951378</v>
      </c>
    </row>
    <row r="99">
      <c r="V99" t="str">
        <f>V31</f>
        <v>Vertex</v>
      </c>
      <c r="W99" s="111">
        <f>AS31</f>
        <v>3.7978709190799034</v>
      </c>
    </row>
    <row r="100">
      <c r="V100" t="str">
        <f>V37</f>
        <v>Descartes Systems</v>
      </c>
      <c r="W100" s="111">
        <f>AS37</f>
        <v>8.795575173059351</v>
      </c>
    </row>
    <row r="101">
      <c r="V101" t="str">
        <f>V38</f>
        <v>Autodesk</v>
      </c>
      <c r="W101" s="111">
        <f>AS38</f>
        <v>8.178939305843965</v>
      </c>
    </row>
    <row r="102">
      <c r="V102" t="str">
        <f>V39</f>
        <v>Atlassian</v>
      </c>
      <c r="W102" s="111">
        <f>AS39</f>
        <v>5.774496104419992</v>
      </c>
    </row>
  </sheetData>
  <pageMargins left="0.7" right="0.7" top="0.75" bottom="0.75" header="0.3" footer="0.3"/>
  <drawing r:id="rId1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5"/>
  <sheetViews>
    <sheetView showGridLines="0" workbookViewId="0">
      <pane ySplit="6" topLeftCell="A7" activePane="bottomLeft" state="frozen"/>
      <selection pane="bottomLeft" activeCell="A1" sqref="A1"/>
    </sheetView>
  </sheetViews>
  <cols>
    <col min="2" max="2" width="13.21875" customWidth="1"/>
    <col min="3" max="3" width="20.9296875" customWidth="1"/>
    <col min="4" max="4" width="32.359375" customWidth="1"/>
    <col min="5" max="5" width="11.7890625" customWidth="1"/>
    <col min="6" max="6" width="33.21875" customWidth="1"/>
    <col min="7" max="18" width="12.07421875" customWidth="1"/>
    <col min="19" max="19" width="68.50390625" customWidth="1"/>
  </cols>
  <sheetData>
    <row r="2">
      <c r="B2" t="s" s="141">
        <v>300</v>
      </c>
    </row>
    <row r="3">
      <c r="B3" t="s" s="142">
        <v>301</v>
      </c>
    </row>
    <row r="5">
      <c r="G5" t="s" s="7">
        <v>377</v>
      </c>
      <c r="H5" s="7"/>
      <c r="I5" s="7"/>
      <c r="J5" t="s" s="7">
        <v>251</v>
      </c>
      <c r="K5" s="7"/>
      <c r="L5" s="7"/>
      <c r="M5" s="7"/>
      <c r="N5" t="s" s="7">
        <v>384</v>
      </c>
      <c r="O5" s="7"/>
      <c r="P5" s="7"/>
    </row>
    <row r="6" ht="28" customHeight="1">
      <c r="B6" t="s" s="143">
        <v>302</v>
      </c>
      <c r="C6" t="s" s="144">
        <v>329</v>
      </c>
      <c r="D6" t="s" s="144">
        <v>346</v>
      </c>
      <c r="E6" t="s" s="144">
        <v>357</v>
      </c>
      <c r="F6" t="s" s="144">
        <v>361</v>
      </c>
      <c r="G6" t="s" s="143">
        <v>378</v>
      </c>
      <c r="H6" t="s" s="143">
        <v>380</v>
      </c>
      <c r="I6" t="s" s="143">
        <v>381</v>
      </c>
      <c r="J6" t="s" s="143">
        <v>20</v>
      </c>
      <c r="K6" t="s" s="143">
        <v>188</v>
      </c>
      <c r="L6" t="s" s="143">
        <v>382</v>
      </c>
      <c r="M6" t="s" s="143">
        <v>383</v>
      </c>
      <c r="N6" t="s" s="143">
        <v>385</v>
      </c>
      <c r="O6" t="s" s="143">
        <v>226</v>
      </c>
      <c r="P6" t="s" s="143">
        <v>389</v>
      </c>
      <c r="Q6" t="s" s="143">
        <v>392</v>
      </c>
      <c r="R6" t="s" s="143">
        <v>393</v>
      </c>
      <c r="S6" t="s" s="144">
        <v>394</v>
      </c>
      <c r="U6" t="s">
        <v>663</v>
      </c>
    </row>
    <row r="7">
      <c r="B7" s="224">
        <v>44166</v>
      </c>
      <c r="C7" t="s">
        <v>330</v>
      </c>
      <c r="D7" t="s">
        <v>347</v>
      </c>
      <c r="E7" t="s">
        <v>358</v>
      </c>
      <c r="F7" t="s">
        <v>362</v>
      </c>
      <c r="G7" s="225">
        <v>10.2</v>
      </c>
      <c r="H7" s="167">
        <v>0.118</v>
      </c>
      <c r="I7" s="167">
        <v>0.28</v>
      </c>
      <c r="J7" s="164">
        <v>8.2</v>
      </c>
      <c r="K7" s="164">
        <v>8</v>
      </c>
      <c r="L7" s="148">
        <f>IF(ISNUMBER(J7),J7,K7)</f>
        <v>8.2</v>
      </c>
      <c r="M7" s="148">
        <f>L7/I7</f>
        <v>29.28571428571428</v>
      </c>
      <c r="N7" s="167">
        <v>0.308</v>
      </c>
      <c r="O7" t="s" s="51">
        <v>386</v>
      </c>
      <c r="P7" t="s" s="51">
        <v>390</v>
      </c>
      <c r="Q7" s="149"/>
      <c r="R7" s="149"/>
      <c r="S7" t="s" s="142">
        <v>395</v>
      </c>
      <c r="U7" s="139">
        <f>$L$31</f>
        <v>8.971276595744682</v>
      </c>
    </row>
    <row r="8">
      <c r="B8" s="224">
        <v>44287</v>
      </c>
      <c r="C8" t="s">
        <v>331</v>
      </c>
      <c r="D8" t="s">
        <v>347</v>
      </c>
      <c r="E8" t="s">
        <v>358</v>
      </c>
      <c r="F8" t="s">
        <v>363</v>
      </c>
      <c r="G8" s="225">
        <v>10.2</v>
      </c>
      <c r="H8" s="167">
        <v>0.16</v>
      </c>
      <c r="I8" s="167">
        <v>0.17</v>
      </c>
      <c r="J8" s="148"/>
      <c r="K8" s="164">
        <v>8</v>
      </c>
      <c r="L8" s="148">
        <f>IF(ISNUMBER(J8),J8,K8)</f>
        <v>8</v>
      </c>
      <c r="M8" s="148">
        <f>L8/I8</f>
        <v>47.05882352941176</v>
      </c>
      <c r="N8" s="167">
        <v>0.34</v>
      </c>
      <c r="O8" t="s" s="51">
        <v>386</v>
      </c>
      <c r="P8" t="s" s="51">
        <v>390</v>
      </c>
      <c r="Q8" s="149"/>
      <c r="R8" s="149"/>
      <c r="S8" t="s" s="142">
        <v>396</v>
      </c>
      <c r="U8" s="139">
        <f>$L$31</f>
        <v>8.971276595744682</v>
      </c>
    </row>
    <row r="9">
      <c r="B9" s="224">
        <v>44409</v>
      </c>
      <c r="C9" t="s">
        <v>332</v>
      </c>
      <c r="D9" t="s">
        <v>348</v>
      </c>
      <c r="E9" t="s">
        <v>358</v>
      </c>
      <c r="F9" t="s">
        <v>364</v>
      </c>
      <c r="G9" s="225">
        <v>7.2</v>
      </c>
      <c r="H9" s="167">
        <v>0.129</v>
      </c>
      <c r="I9" s="167">
        <v>0.357</v>
      </c>
      <c r="J9" s="164">
        <v>8.9</v>
      </c>
      <c r="K9" s="164">
        <v>8.5</v>
      </c>
      <c r="L9" s="148">
        <f>IF(ISNUMBER(J9),J9,K9)</f>
        <v>8.9</v>
      </c>
      <c r="M9" s="148">
        <f>L9/I9</f>
        <v>24.929971988795522</v>
      </c>
      <c r="N9" s="167">
        <v>0.253</v>
      </c>
      <c r="O9" t="s" s="51">
        <v>387</v>
      </c>
      <c r="P9" t="s" s="51">
        <v>390</v>
      </c>
      <c r="Q9" s="149"/>
      <c r="R9" s="149"/>
      <c r="S9" t="s" s="142">
        <v>397</v>
      </c>
      <c r="U9" s="139">
        <f>$L$31</f>
        <v>8.971276595744682</v>
      </c>
    </row>
    <row r="10">
      <c r="B10" s="226">
        <v>44682</v>
      </c>
      <c r="C10" t="s" s="216">
        <v>333</v>
      </c>
      <c r="D10" t="s" s="216">
        <v>349</v>
      </c>
      <c r="E10" t="s" s="216">
        <v>359</v>
      </c>
      <c r="F10" t="s" s="216">
        <v>365</v>
      </c>
      <c r="G10" s="227">
        <v>14.3</v>
      </c>
      <c r="H10" s="228">
        <v>0.084</v>
      </c>
      <c r="I10" s="228">
        <v>0.497</v>
      </c>
      <c r="J10" s="229">
        <v>9</v>
      </c>
      <c r="K10" s="207"/>
      <c r="L10" s="207">
        <f>IF(ISNUMBER(J10),J10,K10)</f>
        <v>9</v>
      </c>
      <c r="M10" s="207">
        <f>L10/I10</f>
        <v>18.10865191146881</v>
      </c>
      <c r="N10" s="228">
        <v>0.34</v>
      </c>
      <c r="O10" t="s" s="217">
        <v>386</v>
      </c>
      <c r="P10" t="s" s="217">
        <v>391</v>
      </c>
      <c r="Q10" s="218"/>
      <c r="R10" s="218"/>
      <c r="S10" t="s" s="223">
        <v>398</v>
      </c>
      <c r="U10" s="139">
        <f>$L$31</f>
        <v>8.971276595744682</v>
      </c>
    </row>
    <row r="11">
      <c r="B11" s="224">
        <v>44896</v>
      </c>
      <c r="C11" t="s">
        <v>334</v>
      </c>
      <c r="D11" t="s">
        <v>347</v>
      </c>
      <c r="E11" t="s">
        <v>358</v>
      </c>
      <c r="F11" t="s">
        <v>366</v>
      </c>
      <c r="G11" s="225">
        <v>8.1</v>
      </c>
      <c r="H11" s="167">
        <v>0.189</v>
      </c>
      <c r="I11" s="167">
        <v>0.211</v>
      </c>
      <c r="J11" s="164">
        <v>8.7</v>
      </c>
      <c r="K11" s="164">
        <v>8.4</v>
      </c>
      <c r="L11" s="148">
        <f>IF(ISNUMBER(J11),J11,K11)</f>
        <v>8.7</v>
      </c>
      <c r="M11" s="148">
        <f>L11/I11</f>
        <v>41.23222748815166</v>
      </c>
      <c r="N11" s="167">
        <v>0.77</v>
      </c>
      <c r="O11" t="s" s="51">
        <v>387</v>
      </c>
      <c r="P11" t="s" s="51">
        <v>390</v>
      </c>
      <c r="Q11" s="149"/>
      <c r="R11" s="149"/>
      <c r="S11" t="s" s="142">
        <v>399</v>
      </c>
      <c r="U11" s="139">
        <f>$L$31</f>
        <v>8.971276595744682</v>
      </c>
    </row>
    <row r="12">
      <c r="B12" s="224">
        <v>44986</v>
      </c>
      <c r="C12" t="s">
        <v>335</v>
      </c>
      <c r="D12" t="s">
        <v>350</v>
      </c>
      <c r="E12" t="s">
        <v>358</v>
      </c>
      <c r="F12" t="s">
        <v>367</v>
      </c>
      <c r="G12" s="225">
        <v>11.7</v>
      </c>
      <c r="H12" s="167">
        <v>0.14</v>
      </c>
      <c r="I12" s="167">
        <v>0.15</v>
      </c>
      <c r="J12" s="148"/>
      <c r="K12" s="164">
        <v>6.9</v>
      </c>
      <c r="L12" s="148">
        <f>IF(ISNUMBER(J12),J12,K12)</f>
        <v>6.9</v>
      </c>
      <c r="M12" s="148">
        <f>L12/I12</f>
        <v>46.00000000000001</v>
      </c>
      <c r="N12" s="167">
        <v>0.62</v>
      </c>
      <c r="O12" t="s" s="51">
        <v>387</v>
      </c>
      <c r="P12" t="s" s="51">
        <v>390</v>
      </c>
      <c r="Q12" s="149"/>
      <c r="R12" s="149"/>
      <c r="S12" t="s" s="142">
        <v>400</v>
      </c>
      <c r="U12" s="139">
        <f>$L$31</f>
        <v>8.971276595744682</v>
      </c>
    </row>
    <row r="13">
      <c r="B13" s="224">
        <v>44986</v>
      </c>
      <c r="C13" t="s">
        <v>336</v>
      </c>
      <c r="D13" t="s">
        <v>351</v>
      </c>
      <c r="E13" t="s">
        <v>358</v>
      </c>
      <c r="F13" t="s">
        <v>368</v>
      </c>
      <c r="G13" s="225">
        <v>4.5</v>
      </c>
      <c r="H13" s="167">
        <v>0.165</v>
      </c>
      <c r="I13" s="167">
        <v>0.19</v>
      </c>
      <c r="J13" s="164">
        <v>6.4</v>
      </c>
      <c r="K13" s="148"/>
      <c r="L13" s="148">
        <f>IF(ISNUMBER(J13),J13,K13)</f>
        <v>6.4</v>
      </c>
      <c r="M13" s="148">
        <f>L13/I13</f>
        <v>33.68421052631579</v>
      </c>
      <c r="N13" s="167">
        <v>0.52</v>
      </c>
      <c r="O13" t="s" s="51">
        <v>388</v>
      </c>
      <c r="P13" t="s" s="51">
        <v>391</v>
      </c>
      <c r="Q13" s="149"/>
      <c r="R13" s="149"/>
      <c r="S13" t="s" s="142">
        <v>401</v>
      </c>
      <c r="U13" s="139">
        <f>$L$31</f>
        <v>8.971276595744682</v>
      </c>
    </row>
    <row r="14">
      <c r="B14" s="226">
        <v>45017</v>
      </c>
      <c r="C14" t="s" s="216">
        <v>337</v>
      </c>
      <c r="D14" t="s" s="216">
        <v>352</v>
      </c>
      <c r="E14" t="s" s="216">
        <v>359</v>
      </c>
      <c r="F14" t="s" s="216">
        <v>369</v>
      </c>
      <c r="G14" s="227">
        <v>4.3</v>
      </c>
      <c r="H14" s="228">
        <v>0.066</v>
      </c>
      <c r="I14" s="228">
        <v>0.24</v>
      </c>
      <c r="J14" s="229">
        <v>6.5</v>
      </c>
      <c r="K14" s="229">
        <v>6.2</v>
      </c>
      <c r="L14" s="207">
        <f>IF(ISNUMBER(J14),J14,K14)</f>
        <v>6.5</v>
      </c>
      <c r="M14" s="207">
        <f>L14/I14</f>
        <v>27.083333333333336</v>
      </c>
      <c r="N14" s="228">
        <v>0.389</v>
      </c>
      <c r="O14" t="s" s="217">
        <v>386</v>
      </c>
      <c r="P14" t="s" s="217">
        <v>391</v>
      </c>
      <c r="Q14" s="218"/>
      <c r="R14" s="218"/>
      <c r="S14" t="s" s="223">
        <v>402</v>
      </c>
      <c r="U14" s="139">
        <f>$L$31</f>
        <v>8.971276595744682</v>
      </c>
    </row>
    <row r="15">
      <c r="B15" s="224">
        <v>45444</v>
      </c>
      <c r="C15" t="s">
        <v>338</v>
      </c>
      <c r="D15" t="s">
        <v>353</v>
      </c>
      <c r="E15" t="s">
        <v>358</v>
      </c>
      <c r="F15" t="s">
        <v>370</v>
      </c>
      <c r="G15" s="225">
        <v>5.8</v>
      </c>
      <c r="H15" s="167">
        <v>0.119</v>
      </c>
      <c r="I15" s="167">
        <v>0.345</v>
      </c>
      <c r="J15" s="164">
        <v>7.2</v>
      </c>
      <c r="K15" s="164">
        <v>7.1</v>
      </c>
      <c r="L15" s="148">
        <f>IF(ISNUMBER(J15),J15,K15)</f>
        <v>7.2</v>
      </c>
      <c r="M15" s="148">
        <f>L15/I15</f>
        <v>20.869565217391308</v>
      </c>
      <c r="N15" s="167">
        <v>0.37</v>
      </c>
      <c r="O15" t="s" s="51">
        <v>387</v>
      </c>
      <c r="P15" t="s" s="51">
        <v>390</v>
      </c>
      <c r="Q15" s="149"/>
      <c r="R15" s="149"/>
      <c r="S15" t="s" s="142">
        <v>403</v>
      </c>
      <c r="U15" s="139">
        <f>$L$31</f>
        <v>8.971276595744682</v>
      </c>
    </row>
    <row r="16">
      <c r="B16" s="224">
        <v>45474</v>
      </c>
      <c r="C16" t="s">
        <v>339</v>
      </c>
      <c r="D16" t="s">
        <v>353</v>
      </c>
      <c r="E16" t="s">
        <v>358</v>
      </c>
      <c r="F16" t="s">
        <v>371</v>
      </c>
      <c r="G16" s="225">
        <v>4.5</v>
      </c>
      <c r="H16" s="167">
        <v>0.107</v>
      </c>
      <c r="I16" s="167">
        <v>0.229</v>
      </c>
      <c r="J16" s="164">
        <v>3.2</v>
      </c>
      <c r="K16" s="148"/>
      <c r="L16" s="148">
        <f>IF(ISNUMBER(J16),J16,K16)</f>
        <v>3.2</v>
      </c>
      <c r="M16" s="148">
        <f>L16/I16</f>
        <v>13.973799126637555</v>
      </c>
      <c r="N16" s="158">
        <f>Q16/R16-1</f>
        <v>0.0012684319010622946</v>
      </c>
      <c r="O16" t="s" s="51">
        <v>387</v>
      </c>
      <c r="P16" t="s" s="51">
        <v>390</v>
      </c>
      <c r="Q16" s="165">
        <v>63.15</v>
      </c>
      <c r="R16" s="165">
        <v>63.07</v>
      </c>
      <c r="S16" t="s" s="142">
        <v>404</v>
      </c>
      <c r="U16" s="139">
        <f>$L$31</f>
        <v>8.971276595744682</v>
      </c>
    </row>
    <row r="17">
      <c r="B17" s="224">
        <v>45474</v>
      </c>
      <c r="C17" t="s">
        <v>340</v>
      </c>
      <c r="D17" t="s">
        <v>354</v>
      </c>
      <c r="E17" t="s">
        <v>358</v>
      </c>
      <c r="F17" t="s">
        <v>370</v>
      </c>
      <c r="G17" s="225">
        <v>4.7</v>
      </c>
      <c r="H17" s="167">
        <v>0.085</v>
      </c>
      <c r="I17" s="167">
        <v>0.409</v>
      </c>
      <c r="J17" s="164">
        <v>6.9</v>
      </c>
      <c r="K17" s="148"/>
      <c r="L17" s="148">
        <f>IF(ISNUMBER(J17),J17,K17)</f>
        <v>6.9</v>
      </c>
      <c r="M17" s="148">
        <f>L17/I17</f>
        <v>16.870415647921764</v>
      </c>
      <c r="N17" s="167">
        <v>0.16</v>
      </c>
      <c r="O17" t="s" s="51">
        <v>387</v>
      </c>
      <c r="P17" t="s" s="51">
        <v>390</v>
      </c>
      <c r="Q17" s="149"/>
      <c r="R17" s="149"/>
      <c r="S17" t="s" s="142">
        <v>405</v>
      </c>
      <c r="U17" s="139">
        <f>$L$31</f>
        <v>8.971276595744682</v>
      </c>
    </row>
    <row r="18">
      <c r="B18" s="224">
        <v>45536</v>
      </c>
      <c r="C18" t="s">
        <v>341</v>
      </c>
      <c r="D18" t="s">
        <v>355</v>
      </c>
      <c r="E18" t="s">
        <v>358</v>
      </c>
      <c r="F18" t="s">
        <v>372</v>
      </c>
      <c r="G18" s="225">
        <v>7.6</v>
      </c>
      <c r="H18" s="167">
        <v>0.15</v>
      </c>
      <c r="I18" s="167">
        <v>0.19</v>
      </c>
      <c r="J18" s="148"/>
      <c r="K18" s="164">
        <v>6.2</v>
      </c>
      <c r="L18" s="148">
        <f>IF(ISNUMBER(J18),J18,K18)</f>
        <v>6.2</v>
      </c>
      <c r="M18" s="148">
        <f>L18/I18</f>
        <v>32.631578947368425</v>
      </c>
      <c r="N18" s="167">
        <v>0.41</v>
      </c>
      <c r="O18" t="s" s="51">
        <v>388</v>
      </c>
      <c r="P18" t="s" s="51">
        <v>391</v>
      </c>
      <c r="Q18" s="149"/>
      <c r="R18" s="149"/>
      <c r="S18" t="s" s="142">
        <v>401</v>
      </c>
      <c r="U18" s="139">
        <f>$L$31</f>
        <v>8.971276595744682</v>
      </c>
    </row>
    <row r="19">
      <c r="B19" s="226">
        <v>45658</v>
      </c>
      <c r="C19" t="s" s="216">
        <v>342</v>
      </c>
      <c r="D19" t="s" s="216">
        <v>114</v>
      </c>
      <c r="E19" t="s" s="216">
        <v>359</v>
      </c>
      <c r="F19" t="s" s="216">
        <v>373</v>
      </c>
      <c r="G19" s="227">
        <v>1.4</v>
      </c>
      <c r="H19" s="228">
        <v>0.12</v>
      </c>
      <c r="I19" s="228">
        <v>0.232</v>
      </c>
      <c r="J19" s="229">
        <v>6.2</v>
      </c>
      <c r="K19" s="229">
        <v>6.1</v>
      </c>
      <c r="L19" s="207">
        <f>IF(ISNUMBER(J19),J19,K19)</f>
        <v>6.2</v>
      </c>
      <c r="M19" s="207">
        <f>L19/I19</f>
        <v>26.72413793103448</v>
      </c>
      <c r="N19" s="228">
        <v>0.316</v>
      </c>
      <c r="O19" t="s" s="217">
        <v>387</v>
      </c>
      <c r="P19" t="s" s="217">
        <v>391</v>
      </c>
      <c r="Q19" s="218"/>
      <c r="R19" s="218"/>
      <c r="S19" t="s" s="223">
        <v>406</v>
      </c>
      <c r="U19" s="139">
        <f>$L$31</f>
        <v>8.971276595744682</v>
      </c>
    </row>
    <row r="20">
      <c r="B20" s="224">
        <v>45870</v>
      </c>
      <c r="C20" t="s">
        <v>343</v>
      </c>
      <c r="D20" t="s">
        <v>356</v>
      </c>
      <c r="E20" t="s">
        <v>358</v>
      </c>
      <c r="F20" t="s">
        <v>374</v>
      </c>
      <c r="G20" s="225">
        <v>2.3</v>
      </c>
      <c r="H20" s="167">
        <v>0.062</v>
      </c>
      <c r="I20" s="167">
        <v>0.179</v>
      </c>
      <c r="J20" s="164">
        <v>3.8</v>
      </c>
      <c r="K20" s="148"/>
      <c r="L20" s="148">
        <f>IF(ISNUMBER(J20),J20,K20)</f>
        <v>3.8</v>
      </c>
      <c r="M20" s="148">
        <f>L20/I20</f>
        <v>21.22905027932961</v>
      </c>
      <c r="N20" s="167">
        <v>0.64</v>
      </c>
      <c r="O20" t="s" s="51">
        <v>387</v>
      </c>
      <c r="P20" t="s" s="51">
        <v>390</v>
      </c>
      <c r="Q20" s="149"/>
      <c r="R20" s="149"/>
      <c r="S20" t="s" s="142">
        <v>407</v>
      </c>
      <c r="U20" s="139">
        <f>$L$31</f>
        <v>8.971276595744682</v>
      </c>
    </row>
    <row r="21">
      <c r="B21" s="224">
        <v>45870</v>
      </c>
      <c r="C21" t="s">
        <v>344</v>
      </c>
      <c r="D21" t="s">
        <v>347</v>
      </c>
      <c r="E21" t="s">
        <v>358</v>
      </c>
      <c r="F21" t="s">
        <v>375</v>
      </c>
      <c r="G21" s="225">
        <v>12.1</v>
      </c>
      <c r="H21" s="167">
        <v>0.108</v>
      </c>
      <c r="I21" s="167">
        <v>0.323</v>
      </c>
      <c r="J21" s="164">
        <v>5.9</v>
      </c>
      <c r="K21" s="164">
        <v>5.8</v>
      </c>
      <c r="L21" s="148">
        <f>IF(ISNUMBER(J21),J21,K21)</f>
        <v>5.9</v>
      </c>
      <c r="M21" s="148">
        <f>L21/I21</f>
        <v>18.26625386996904</v>
      </c>
      <c r="N21" s="167">
        <v>0.32</v>
      </c>
      <c r="O21" t="s" s="51">
        <v>387</v>
      </c>
      <c r="P21" t="s" s="51">
        <v>390</v>
      </c>
      <c r="Q21" s="149"/>
      <c r="R21" s="149"/>
      <c r="S21" s="142"/>
      <c r="U21" s="139">
        <f>$L$31</f>
        <v>8.971276595744682</v>
      </c>
    </row>
    <row r="22">
      <c r="G22" s="213"/>
      <c r="H22" s="158"/>
      <c r="I22" s="158"/>
      <c r="J22" s="148"/>
      <c r="K22" s="148"/>
      <c r="L22" s="148"/>
      <c r="M22" s="148"/>
      <c r="N22" s="158"/>
      <c r="O22" s="146"/>
      <c r="P22" s="146"/>
      <c r="Q22" s="146"/>
      <c r="R22" s="146"/>
    </row>
    <row r="23">
      <c r="B23" t="s" s="125">
        <v>303</v>
      </c>
      <c r="C23" s="125"/>
      <c r="D23" s="125"/>
      <c r="E23" s="125"/>
      <c r="F23" s="125"/>
      <c r="G23" s="214"/>
      <c r="H23" s="215"/>
      <c r="I23" s="215"/>
      <c r="J23" s="153"/>
      <c r="K23" s="153"/>
      <c r="L23" s="153"/>
      <c r="M23" s="153"/>
      <c r="N23" s="215"/>
      <c r="O23" s="134"/>
      <c r="P23" s="134"/>
      <c r="Q23" s="134"/>
      <c r="R23" s="134"/>
      <c r="S23" s="125"/>
    </row>
    <row r="24">
      <c r="B24" t="s" s="186">
        <v>304</v>
      </c>
      <c r="C24" s="186"/>
      <c r="D24" s="186"/>
      <c r="E24" s="186"/>
      <c r="F24" s="186"/>
      <c r="G24" s="221">
        <f t="array" ref="G24">MEDIAN(IF(($E$7:$E$21="Sponsor"),G$7:G$21))</f>
        <v>7.4</v>
      </c>
      <c r="H24" s="222">
        <f t="array" ref="H24">MEDIAN(IF(($E$7:$E$21="Sponsor")*ISNUMBER(H$7:H$21),H$7:H$21))</f>
        <v>0.124</v>
      </c>
      <c r="I24" s="222">
        <f t="array" ref="I24">MEDIAN(IF(($E$7:$E$21="Sponsor")*ISNUMBER(I$7:I$21),I$7:I$21))</f>
        <v>0.22</v>
      </c>
      <c r="J24" s="192"/>
      <c r="K24" s="192"/>
      <c r="L24" s="192">
        <f t="array" ref="L24">MEDIAN(IF(($E$7:$E$21="Sponsor")*ISNUMBER(L$7:L$21),L$7:L$21))</f>
        <v>6.9</v>
      </c>
      <c r="M24" s="192">
        <f t="array" ref="M24">MEDIAN(IF(($E$7:$E$21="Sponsor")*ISNUMBER(M$7:M$21),M$7:M$21))</f>
        <v>27.107843137254903</v>
      </c>
      <c r="N24" s="222">
        <f t="array" ref="N24">MEDIAN(IF(($E$7:$E$21="Sponsor")*ISNUMBER(N$7:N$21)*($P$7:$P$21="Yes"),N$7:N$21))</f>
        <v>0.33</v>
      </c>
      <c r="O24" s="195"/>
      <c r="P24" s="195"/>
      <c r="Q24" s="195"/>
      <c r="R24" s="195"/>
      <c r="S24" s="186"/>
    </row>
    <row r="25">
      <c r="B25" t="s" s="168">
        <v>305</v>
      </c>
      <c r="G25" s="213"/>
      <c r="H25" s="158">
        <f t="array" ref="H25">_xlfn.QUARTILE.INC(IF(($E$7:$E$21="Sponsor")*ISNUMBER(H$7:H$21),H$7:H$21),1)</f>
        <v>0.10775</v>
      </c>
      <c r="I25" s="158">
        <f t="array" ref="I25">_xlfn.QUARTILE.INC(IF(($E$7:$E$21="Sponsor")*ISNUMBER(I$7:I$21),I$7:I$21),1)</f>
        <v>0.18725</v>
      </c>
      <c r="J25" s="148"/>
      <c r="K25" s="148"/>
      <c r="L25" s="148">
        <f t="array" ref="L25">_xlfn.QUARTILE.INC(IF(($E$7:$E$21="Sponsor")*ISNUMBER(L$7:L$21),L$7:L$21),1)</f>
        <v>6.125</v>
      </c>
      <c r="M25" s="148">
        <f t="array" ref="M25">_xlfn.QUARTILE.INC(IF(($E$7:$E$21="Sponsor")*ISNUMBER(M$7:M$21),M$7:M$21),1)</f>
        <v>20.218737380535742</v>
      </c>
      <c r="N25" s="158">
        <f t="array" ref="N25">_xlfn.QUARTILE.INC(IF(($E$7:$E$21="Sponsor")*ISNUMBER(N$7:N$21)*($P$7:$P$21="Yes"),N$7:N$21),1)</f>
        <v>0.26675</v>
      </c>
      <c r="O25" s="146"/>
      <c r="P25" s="146"/>
      <c r="Q25" s="146"/>
      <c r="R25" s="146"/>
    </row>
    <row r="26">
      <c r="B26" t="s" s="168">
        <v>306</v>
      </c>
      <c r="G26" s="213"/>
      <c r="H26" s="158">
        <f t="array" ref="H26">_xlfn.QUARTILE.INC(IF(($E$7:$E$21="Sponsor")*ISNUMBER(H$7:H$21),H$7:H$21),3)</f>
        <v>0.1525</v>
      </c>
      <c r="I26" s="158">
        <f t="array" ref="I26">_xlfn.QUARTILE.INC(IF(($E$7:$E$21="Sponsor")*ISNUMBER(I$7:I$21),I$7:I$21),3)</f>
        <v>0.3285</v>
      </c>
      <c r="J26" s="148"/>
      <c r="K26" s="148"/>
      <c r="L26" s="148">
        <f t="array" ref="L26">_xlfn.QUARTILE.INC(IF(($E$7:$E$21="Sponsor")*ISNUMBER(L$7:L$21),L$7:L$21),3)</f>
        <v>8.05</v>
      </c>
      <c r="M26" s="148">
        <f t="array" ref="M26">_xlfn.QUARTILE.INC(IF(($E$7:$E$21="Sponsor")*ISNUMBER(M$7:M$21),M$7:M$21),3)</f>
        <v>35.57121476677476</v>
      </c>
      <c r="N26" s="158">
        <f t="array" ref="N26">_xlfn.QUARTILE.INC(IF(($E$7:$E$21="Sponsor")*ISNUMBER(N$7:N$21)*($P$7:$P$21="Yes"),N$7:N$21),3)</f>
        <v>0.5575</v>
      </c>
      <c r="O26" s="146"/>
      <c r="P26" s="146"/>
      <c r="Q26" s="146"/>
      <c r="R26" s="146"/>
    </row>
    <row r="27">
      <c r="B27" t="s" s="168">
        <v>307</v>
      </c>
      <c r="G27" s="213"/>
      <c r="H27" s="158">
        <f t="array" ref="H27">AVERAGE(IF(($E$7:$E$21="Sponsor")*ISNUMBER(H$7:H$21),H$7:H$21))</f>
        <v>0.12766666666666668</v>
      </c>
      <c r="I27" s="158">
        <f t="array" ref="I27">AVERAGE(IF(($E$7:$E$21="Sponsor")*ISNUMBER(I$7:I$21),I$7:I$21))</f>
        <v>0.25275</v>
      </c>
      <c r="J27" s="148"/>
      <c r="K27" s="148"/>
      <c r="L27" s="148">
        <f t="array" ref="L27">AVERAGE(IF(($E$7:$E$21="Sponsor")*ISNUMBER(L$7:L$21),L$7:L$21))</f>
        <v>6.691666666666667</v>
      </c>
      <c r="M27" s="148">
        <f t="array" ref="M27">AVERAGE(IF(($E$7:$E$21="Sponsor")*ISNUMBER(M$7:M$21),M$7:M$21))</f>
        <v>28.835967575583897</v>
      </c>
      <c r="N27" s="158">
        <f t="array" ref="N27">AVERAGE(IF(($E$7:$E$21="Sponsor")*ISNUMBER(N$7:N$21)*($P$7:$P$21="Yes"),N$7:N$21))</f>
        <v>0.37822684319010624</v>
      </c>
      <c r="O27" s="146"/>
      <c r="P27" s="146"/>
      <c r="Q27" s="146"/>
      <c r="R27" s="146"/>
    </row>
    <row r="28">
      <c r="B28" t="s" s="23">
        <v>308</v>
      </c>
      <c r="C28" s="23"/>
      <c r="D28" s="23"/>
      <c r="E28" s="23"/>
      <c r="F28" s="23"/>
      <c r="G28" s="219">
        <f>MEDIAN(G7:G21)</f>
        <v>7.2</v>
      </c>
      <c r="H28" s="220">
        <f>MEDIAN(H7:H21)</f>
        <v>0.119</v>
      </c>
      <c r="I28" s="220">
        <f>MEDIAN(I7:I21)</f>
        <v>0.232</v>
      </c>
      <c r="J28" s="184"/>
      <c r="K28" s="184"/>
      <c r="L28" s="184">
        <f>MEDIAN(L7:L21)</f>
        <v>6.9</v>
      </c>
      <c r="M28" s="184">
        <f>MEDIAN(M7:M21)</f>
        <v>26.72413793103448</v>
      </c>
      <c r="N28" s="220">
        <f>MEDIAN(N7:N21)</f>
        <v>0.34</v>
      </c>
      <c r="O28" s="185"/>
      <c r="P28" s="185"/>
      <c r="Q28" s="185"/>
      <c r="R28" s="185"/>
      <c r="S28" s="23"/>
    </row>
    <row r="29">
      <c r="B29" t="s" s="23">
        <v>309</v>
      </c>
      <c r="C29" s="23"/>
      <c r="D29" s="23"/>
      <c r="E29" s="23"/>
      <c r="F29" s="23"/>
      <c r="G29" s="219"/>
      <c r="H29" s="220">
        <f t="array" ref="H29">MEDIAN(IF(($E$7:$E$21="Strategic")*ISNUMBER(H$7:H$21),H$7:H$21))</f>
        <v>0.084</v>
      </c>
      <c r="I29" s="220">
        <f t="array" ref="I29">MEDIAN(IF(($E$7:$E$21="Strategic")*ISNUMBER(I$7:I$21),I$7:I$21))</f>
        <v>0.24</v>
      </c>
      <c r="J29" s="184"/>
      <c r="K29" s="184"/>
      <c r="L29" s="184">
        <f t="array" ref="L29">MEDIAN(IF(($E$7:$E$21="Strategic")*ISNUMBER(L$7:L$21),L$7:L$21))</f>
        <v>6.5</v>
      </c>
      <c r="M29" s="184">
        <f t="array" ref="M29">MEDIAN(IF(($E$7:$E$21="Strategic")*ISNUMBER(M$7:M$21),M$7:M$21))</f>
        <v>26.72413793103448</v>
      </c>
      <c r="N29" s="220">
        <f t="array" ref="N29">MEDIAN(IF(($E$7:$E$21="Strategic")*ISNUMBER(N$7:N$21),N$7:N$21))</f>
        <v>0.34</v>
      </c>
      <c r="O29" s="185"/>
      <c r="P29" s="185"/>
      <c r="Q29" s="185"/>
      <c r="R29" s="185"/>
      <c r="S29" s="23"/>
    </row>
    <row r="30">
      <c r="G30" s="213"/>
      <c r="H30" s="158"/>
      <c r="I30" s="158"/>
      <c r="J30" s="148"/>
      <c r="K30" s="148"/>
      <c r="L30" s="148"/>
      <c r="M30" s="148"/>
      <c r="N30" s="158"/>
      <c r="O30" s="146"/>
      <c r="P30" s="146"/>
      <c r="Q30" s="146"/>
      <c r="R30" s="146"/>
    </row>
    <row r="31">
      <c r="B31" t="s" s="23">
        <v>310</v>
      </c>
      <c r="C31" s="23"/>
      <c r="D31" s="23"/>
      <c r="E31" s="23"/>
      <c r="F31" s="23"/>
      <c r="G31" s="219">
        <f>H48/1000</f>
        <v>8.433</v>
      </c>
      <c r="H31" s="220"/>
      <c r="I31" s="220">
        <f>H50/H49</f>
        <v>0.3595744680851064</v>
      </c>
      <c r="J31" s="184"/>
      <c r="K31" s="184"/>
      <c r="L31" s="184">
        <f>H48/H49</f>
        <v>8.971276595744682</v>
      </c>
      <c r="M31" s="184">
        <f>H48/H50</f>
        <v>24.949704142011836</v>
      </c>
      <c r="N31" s="220">
        <f>H46/H47-1</f>
        <v>0.4709406830437386</v>
      </c>
      <c r="O31" s="185"/>
      <c r="P31" s="185"/>
      <c r="Q31" s="185"/>
      <c r="R31" s="185"/>
      <c r="S31" s="23"/>
    </row>
    <row r="32">
      <c r="B32" t="s">
        <v>311</v>
      </c>
      <c r="G32" s="146"/>
      <c r="H32" s="146"/>
      <c r="I32" s="146"/>
      <c r="J32" s="146"/>
      <c r="K32" s="146"/>
      <c r="L32" s="169">
        <f t="array" ref="L32">IF(L31&gt;=MAX(IF(($E$7:$E$21="Sponsor"),L$7:L$21)),1,_xlfn.PERCENTRANK.INC(IF(($E$7:$E$21="Sponsor"),L$7:L$21),L31))</f>
        <v>1</v>
      </c>
      <c r="M32" s="169">
        <f t="array" ref="M32">IF(M31&gt;=MAX(IF(($E$7:$E$21="Sponsor"),M$7:M$21)),1,_xlfn.PERCENTRANK.INC(IF(($E$7:$E$21="Sponsor"),M$7:M$21),M31))</f>
        <v>0.454</v>
      </c>
      <c r="N32" s="169">
        <f t="array" ref="N32">IF(N31&gt;=MAX(IF(($E$7:$E$21="Sponsor")*($P$7:$P$21="Yes"),N$7:N$21)),1,_xlfn.PERCENTRANK.INC(IF(($E$7:$E$21="Sponsor")*($P$7:$P$21="Yes"),N$7:N$21),N31))</f>
        <v>0.711</v>
      </c>
      <c r="O32" s="146"/>
      <c r="P32" s="146"/>
      <c r="Q32" s="146"/>
      <c r="R32" s="146"/>
    </row>
    <row r="33"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</row>
    <row r="34">
      <c r="B34" t="s" s="125">
        <v>312</v>
      </c>
      <c r="C34" s="125"/>
      <c r="D34" s="125"/>
      <c r="E34" s="125"/>
      <c r="F34" s="125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25"/>
    </row>
    <row r="35">
      <c r="H35" t="s" s="250">
        <v>345</v>
      </c>
      <c r="I35" t="s" s="250">
        <v>75</v>
      </c>
      <c r="J35" t="s" s="250">
        <v>360</v>
      </c>
      <c r="K35" t="s" s="250">
        <v>376</v>
      </c>
      <c r="L35" t="s" s="11">
        <v>664</v>
      </c>
      <c r="M35" s="146"/>
      <c r="N35" s="146"/>
      <c r="O35" s="146"/>
      <c r="P35" s="146"/>
      <c r="Q35" s="146"/>
      <c r="R35" s="146"/>
    </row>
    <row r="36">
      <c r="B36" t="s">
        <v>313</v>
      </c>
      <c r="H36" s="230">
        <v>0.23</v>
      </c>
      <c r="I36" s="230">
        <v>0.3</v>
      </c>
      <c r="J36" s="230">
        <v>0.34</v>
      </c>
      <c r="K36" s="230">
        <v>0.4</v>
      </c>
      <c r="L36" s="231">
        <v>0.28</v>
      </c>
      <c r="M36" s="146"/>
      <c r="N36" s="146"/>
      <c r="O36" s="146"/>
      <c r="P36" s="146"/>
      <c r="Q36" s="146"/>
      <c r="R36" s="146"/>
    </row>
    <row r="37">
      <c r="B37" t="s">
        <v>314</v>
      </c>
      <c r="H37" s="230">
        <v>0.24</v>
      </c>
      <c r="I37" s="230">
        <v>0.35</v>
      </c>
      <c r="J37" s="230">
        <v>0.32</v>
      </c>
      <c r="K37" s="230">
        <v>0.41</v>
      </c>
      <c r="L37" s="231">
        <v>0.3</v>
      </c>
      <c r="M37" s="146"/>
      <c r="N37" s="146"/>
      <c r="O37" s="146"/>
      <c r="P37" s="146"/>
      <c r="Q37" s="146"/>
      <c r="R37" s="146"/>
    </row>
    <row r="38">
      <c r="L38" s="146"/>
      <c r="M38" s="146"/>
      <c r="N38" s="146"/>
      <c r="O38" s="146"/>
      <c r="P38" s="146"/>
      <c r="Q38" s="146"/>
      <c r="R38" s="146"/>
    </row>
    <row r="39">
      <c r="B39" t="s" s="125">
        <v>315</v>
      </c>
      <c r="C39" s="125"/>
      <c r="D39" s="125"/>
      <c r="E39" s="125"/>
      <c r="F39" s="125"/>
      <c r="G39" s="125"/>
      <c r="H39" s="125"/>
      <c r="I39" s="125"/>
      <c r="J39" s="125"/>
      <c r="K39" s="125"/>
      <c r="L39" s="134"/>
      <c r="M39" s="134"/>
      <c r="N39" s="134"/>
      <c r="O39" s="134"/>
      <c r="P39" s="134"/>
      <c r="Q39" s="134"/>
      <c r="R39" s="134"/>
      <c r="S39" s="125"/>
    </row>
    <row r="40">
      <c r="H40" t="s" s="250">
        <v>122</v>
      </c>
      <c r="I40" t="s" s="250">
        <v>345</v>
      </c>
      <c r="J40" t="s" s="250">
        <v>75</v>
      </c>
      <c r="K40" t="s" s="250">
        <v>376</v>
      </c>
      <c r="L40" t="s" s="250">
        <v>126</v>
      </c>
      <c r="M40" t="s" s="250">
        <v>127</v>
      </c>
      <c r="N40" t="s" s="250">
        <v>128</v>
      </c>
      <c r="O40" t="s" s="250">
        <v>129</v>
      </c>
      <c r="P40" s="146"/>
      <c r="Q40" s="146"/>
      <c r="R40" s="146"/>
    </row>
    <row r="41">
      <c r="B41" t="s" s="160">
        <v>316</v>
      </c>
      <c r="H41" s="140">
        <f>H49</f>
        <v>940</v>
      </c>
      <c r="I41" s="139">
        <f>L25</f>
        <v>6.125</v>
      </c>
      <c r="J41" s="139">
        <f>L24</f>
        <v>6.9</v>
      </c>
      <c r="K41" s="139">
        <f>L26</f>
        <v>8.05</v>
      </c>
      <c r="L41" s="149">
        <f>((I41*$H41-$H$51)+$H$53*$H$54-$H$55)/($H$52+$H$53)</f>
        <v>16.008358170228316</v>
      </c>
      <c r="M41" s="149">
        <f>((J41*$H41-$H$51)+$H$53*$H$54-$H$55)/($H$52+$H$53)</f>
        <v>18.333892699287766</v>
      </c>
      <c r="N41" s="149">
        <f>((K41*$H41-$H$51)+$H$53*$H$54-$H$55)/($H$52+$H$53)</f>
        <v>21.784685871440498</v>
      </c>
      <c r="O41" s="159">
        <f>$H$46/M41-1</f>
        <v>0.3390500535084793</v>
      </c>
      <c r="P41" s="146"/>
      <c r="Q41" s="146"/>
      <c r="R41" s="146"/>
    </row>
    <row r="42">
      <c r="B42" t="s" s="160">
        <v>317</v>
      </c>
      <c r="H42" s="140">
        <f>H50</f>
        <v>338</v>
      </c>
      <c r="I42" s="139">
        <f>M25</f>
        <v>20.218737380535742</v>
      </c>
      <c r="J42" s="139">
        <f>M24</f>
        <v>27.107843137254903</v>
      </c>
      <c r="K42" s="139">
        <f>M26</f>
        <v>35.57121476677476</v>
      </c>
      <c r="L42" s="149">
        <f>((I42*$H42-$H$51)+$H$53*$H$54-$H$55)/($H$52+$H$53)</f>
        <v>19.444573208441735</v>
      </c>
      <c r="M42" s="149">
        <f>((J42*$H42-$H$51)+$H$53*$H$54-$H$55)/($H$52+$H$53)</f>
        <v>26.877721347519717</v>
      </c>
      <c r="N42" s="149">
        <f>((K42*$H42-$H$51)+$H$53*$H$54-$H$55)/($H$52+$H$53)</f>
        <v>36.00945735214315</v>
      </c>
      <c r="O42" s="159">
        <f>$H$46/M42-1</f>
        <v>-0.08660411786486955</v>
      </c>
      <c r="P42" s="146"/>
      <c r="Q42" s="146"/>
      <c r="R42" s="146"/>
    </row>
    <row r="43">
      <c r="B43" t="s" s="160">
        <v>318</v>
      </c>
      <c r="H43" s="138">
        <f>H47</f>
        <v>16.69</v>
      </c>
      <c r="I43" s="145">
        <f>N25</f>
        <v>0.26675</v>
      </c>
      <c r="J43" s="145">
        <f>N24</f>
        <v>0.33</v>
      </c>
      <c r="K43" s="145">
        <f>N26</f>
        <v>0.5575</v>
      </c>
      <c r="L43" s="149">
        <f>$H43*(1+I43)</f>
        <v>21.142057500000004</v>
      </c>
      <c r="M43" s="149">
        <f>$H43*(1+J43)</f>
        <v>22.197700000000005</v>
      </c>
      <c r="N43" s="149">
        <f>$H43*(1+K43)</f>
        <v>25.994675000000004</v>
      </c>
      <c r="O43" s="159">
        <f>$H$46/M43-1</f>
        <v>0.10597043837875075</v>
      </c>
      <c r="P43" s="146"/>
      <c r="Q43" s="146"/>
      <c r="R43" s="146"/>
    </row>
    <row r="44">
      <c r="B44" s="160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</row>
    <row r="45">
      <c r="B45" t="s" s="161">
        <v>319</v>
      </c>
      <c r="C45" s="125"/>
      <c r="D45" s="125"/>
      <c r="E45" s="125"/>
      <c r="F45" s="125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25"/>
    </row>
    <row r="46">
      <c r="B46" t="s" s="160">
        <v>320</v>
      </c>
      <c r="G46" s="146"/>
      <c r="H46" s="232">
        <v>24.55</v>
      </c>
      <c r="I46" s="146"/>
      <c r="J46" s="146"/>
      <c r="K46" s="146"/>
      <c r="L46" s="146"/>
      <c r="M46" s="146"/>
      <c r="N46" s="146"/>
      <c r="O46" s="146"/>
      <c r="P46" s="146"/>
      <c r="Q46" s="146"/>
      <c r="R46" s="146"/>
    </row>
    <row r="47">
      <c r="B47" t="s" s="160">
        <v>321</v>
      </c>
      <c r="G47" s="146"/>
      <c r="H47" s="232">
        <v>16.69</v>
      </c>
      <c r="I47" s="146"/>
      <c r="J47" s="146"/>
      <c r="K47" s="146"/>
      <c r="L47" s="146"/>
      <c r="M47" s="146"/>
      <c r="N47" s="146"/>
      <c r="O47" s="146"/>
      <c r="P47" s="146"/>
      <c r="Q47" s="146"/>
      <c r="R47" s="146"/>
    </row>
    <row r="48">
      <c r="B48" t="s" s="160">
        <v>322</v>
      </c>
      <c r="G48" s="146"/>
      <c r="H48" s="233">
        <v>8433</v>
      </c>
      <c r="I48" s="146"/>
      <c r="J48" s="146"/>
      <c r="K48" s="146"/>
      <c r="L48" s="146"/>
      <c r="M48" s="146"/>
      <c r="N48" s="146"/>
      <c r="O48" s="146"/>
      <c r="P48" s="146"/>
      <c r="Q48" s="146"/>
      <c r="R48" s="146"/>
    </row>
    <row r="49">
      <c r="B49" t="s" s="160">
        <v>323</v>
      </c>
      <c r="G49" s="146"/>
      <c r="H49" s="233">
        <v>940</v>
      </c>
      <c r="I49" s="146"/>
      <c r="J49" s="146"/>
      <c r="K49" s="146"/>
      <c r="L49" s="146"/>
      <c r="M49" s="146"/>
      <c r="N49" s="146"/>
      <c r="O49" s="146"/>
      <c r="P49" s="146"/>
      <c r="Q49" s="146"/>
      <c r="R49" s="146"/>
    </row>
    <row r="50">
      <c r="B50" t="s" s="160">
        <v>324</v>
      </c>
      <c r="G50" s="146"/>
      <c r="H50" s="233">
        <v>338</v>
      </c>
      <c r="I50" s="146"/>
      <c r="J50" s="146"/>
      <c r="K50" s="146"/>
      <c r="L50" s="146"/>
      <c r="M50" s="146"/>
      <c r="N50" s="146"/>
      <c r="O50" s="146"/>
      <c r="P50" s="146"/>
      <c r="Q50" s="146"/>
      <c r="R50" s="146"/>
    </row>
    <row r="51">
      <c r="B51" t="s" s="160">
        <v>325</v>
      </c>
      <c r="G51" s="146"/>
      <c r="H51" s="233">
        <v>795</v>
      </c>
      <c r="I51" s="146"/>
      <c r="J51" s="146"/>
      <c r="K51" s="146"/>
      <c r="L51" s="146"/>
      <c r="M51" s="146"/>
      <c r="N51" s="146"/>
      <c r="O51" s="146"/>
      <c r="P51" s="146"/>
      <c r="Q51" s="146"/>
      <c r="R51" s="146"/>
    </row>
    <row r="52">
      <c r="B52" t="s" s="160">
        <v>326</v>
      </c>
      <c r="G52" s="146"/>
      <c r="H52" s="212">
        <f>(Comps!X60+Comps!X61+Comps!X62+Comps!X63)/10^6</f>
        <v>305.670631</v>
      </c>
      <c r="I52" s="146"/>
      <c r="J52" s="146"/>
      <c r="K52" s="146"/>
      <c r="L52" s="146"/>
      <c r="M52" s="146"/>
      <c r="N52" s="146"/>
      <c r="O52" s="146"/>
      <c r="P52" s="146"/>
      <c r="Q52" s="146"/>
      <c r="R52" s="146"/>
    </row>
    <row r="53">
      <c r="B53" t="s" s="160">
        <v>327</v>
      </c>
      <c r="G53" s="146"/>
      <c r="H53" s="212">
        <f>Comps!X64/10^6</f>
        <v>7.590682</v>
      </c>
      <c r="I53" s="146"/>
      <c r="J53" s="146"/>
      <c r="K53" s="146"/>
      <c r="L53" s="146"/>
      <c r="M53" s="146"/>
      <c r="N53" s="146"/>
      <c r="O53" s="146"/>
      <c r="P53" s="146"/>
      <c r="Q53" s="146"/>
      <c r="R53" s="146"/>
    </row>
    <row r="54">
      <c r="B54" t="s" s="160">
        <v>328</v>
      </c>
      <c r="G54" s="146"/>
      <c r="H54" s="232">
        <v>9.09</v>
      </c>
      <c r="I54" s="146"/>
      <c r="J54" s="146"/>
      <c r="K54" s="146"/>
      <c r="L54" s="146"/>
      <c r="M54" s="146"/>
      <c r="N54" s="146"/>
      <c r="O54" s="146"/>
      <c r="P54" s="146"/>
      <c r="Q54" s="146"/>
      <c r="R54" s="146"/>
    </row>
    <row r="55">
      <c r="B55" t="s" s="160">
        <v>143</v>
      </c>
      <c r="G55" s="146"/>
      <c r="H55" s="234">
        <v>16.7</v>
      </c>
      <c r="I55" s="146"/>
      <c r="J55" s="146"/>
      <c r="K55" s="146"/>
      <c r="L55" s="146"/>
      <c r="M55" s="146"/>
      <c r="N55" s="146"/>
      <c r="O55" s="146"/>
      <c r="P55" s="146"/>
      <c r="Q55" s="146"/>
      <c r="R55" s="146"/>
    </row>
  </sheetData>
  <pageMargins left="0.7" right="0.7" top="0.75" bottom="0.75" header="0.3" footer="0.3"/>
  <drawing r:id="rId1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61"/>
  <sheetViews>
    <sheetView showGridLines="0" workbookViewId="0">
      <selection activeCell="A1" sqref="A1"/>
    </sheetView>
  </sheetViews>
  <cols>
    <col min="2" max="2" width="62.7890625" customWidth="1"/>
    <col min="3" max="14" width="12.9296875" customWidth="1"/>
  </cols>
  <sheetData>
    <row r="2">
      <c r="B2" t="s" s="141">
        <v>408</v>
      </c>
    </row>
    <row r="3">
      <c r="B3" t="s" s="142">
        <v>409</v>
      </c>
    </row>
    <row r="5">
      <c r="B5" t="s" s="125">
        <v>410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ht="28" customHeight="1">
      <c r="C6" t="s" s="143">
        <v>442</v>
      </c>
      <c r="D6" t="s" s="143">
        <v>445</v>
      </c>
      <c r="E6" t="s" s="143">
        <v>448</v>
      </c>
    </row>
    <row r="7">
      <c r="B7" t="s">
        <v>411</v>
      </c>
      <c r="C7" s="165">
        <v>24.19547949611307</v>
      </c>
      <c r="D7" s="165">
        <v>19.778959971823515</v>
      </c>
      <c r="E7" s="165">
        <v>22.335334564605525</v>
      </c>
      <c r="F7" s="146"/>
      <c r="G7" s="146"/>
      <c r="H7" s="146"/>
      <c r="I7" s="146"/>
      <c r="J7" s="146"/>
      <c r="K7" s="146"/>
      <c r="L7" s="146"/>
      <c r="M7" s="146"/>
      <c r="N7" s="146"/>
    </row>
    <row r="8">
      <c r="B8" t="s">
        <v>412</v>
      </c>
      <c r="C8" s="165">
        <v>44.51582436990071</v>
      </c>
      <c r="D8" s="165">
        <v>41.967272936192494</v>
      </c>
      <c r="E8" s="165">
        <v>43.47567330492789</v>
      </c>
      <c r="F8" s="146"/>
      <c r="G8" s="146"/>
      <c r="H8" s="146"/>
      <c r="I8" s="146"/>
      <c r="J8" s="146"/>
      <c r="K8" s="146"/>
      <c r="L8" s="146"/>
      <c r="M8" s="146"/>
      <c r="N8" s="146"/>
    </row>
    <row r="9">
      <c r="B9" t="s">
        <v>413</v>
      </c>
      <c r="C9" s="163">
        <v>7887.002918517632</v>
      </c>
      <c r="D9" s="163">
        <v>6512.886803135656</v>
      </c>
      <c r="E9" s="163">
        <v>7281.654479707948</v>
      </c>
      <c r="F9" s="146"/>
      <c r="G9" s="146"/>
      <c r="H9" s="146"/>
      <c r="I9" s="146"/>
      <c r="J9" s="146"/>
      <c r="K9" s="146"/>
      <c r="L9" s="146"/>
      <c r="M9" s="146"/>
      <c r="N9" s="146"/>
    </row>
    <row r="10">
      <c r="B10" t="s">
        <v>452</v>
      </c>
      <c r="C10" s="163">
        <v>11948.51976784759</v>
      </c>
      <c r="D10" s="163">
        <v>10393.595641713046</v>
      </c>
      <c r="E10" s="163">
        <v>11265.944806965694</v>
      </c>
      <c r="F10" s="146"/>
      <c r="G10" s="146"/>
      <c r="H10" s="146"/>
      <c r="I10" s="146"/>
      <c r="J10" s="146"/>
      <c r="K10" s="146"/>
      <c r="L10" s="146"/>
      <c r="M10" s="146"/>
      <c r="N10" s="146"/>
    </row>
    <row r="11">
      <c r="B11" t="s">
        <v>453</v>
      </c>
      <c r="C11" s="163">
        <v>1324.0125623322263</v>
      </c>
      <c r="D11" s="163">
        <v>1324.0125623322263</v>
      </c>
      <c r="E11" s="163">
        <v>1324.0125623322263</v>
      </c>
      <c r="F11" s="146"/>
      <c r="G11" s="146"/>
      <c r="H11" s="146"/>
      <c r="I11" s="146"/>
      <c r="J11" s="146"/>
      <c r="K11" s="146"/>
      <c r="L11" s="146"/>
      <c r="M11" s="146"/>
      <c r="N11" s="146"/>
    </row>
    <row r="12">
      <c r="B12" t="s">
        <v>454</v>
      </c>
      <c r="C12" s="148">
        <f>C10/C11</f>
        <v>9.024476132462421</v>
      </c>
      <c r="D12" s="148">
        <f>D10/D11</f>
        <v>7.850073282843252</v>
      </c>
      <c r="E12" s="148">
        <f>E10/E11</f>
        <v>8.508941023279204</v>
      </c>
      <c r="F12" s="146"/>
      <c r="G12" s="146"/>
      <c r="H12" s="146"/>
      <c r="I12" s="146"/>
      <c r="J12" s="146"/>
      <c r="K12" s="146"/>
      <c r="L12" s="146"/>
      <c r="M12" s="146"/>
      <c r="N12" s="146"/>
    </row>
    <row r="13">
      <c r="B13" t="s">
        <v>415</v>
      </c>
      <c r="C13" s="242">
        <v>0.0724569030664997</v>
      </c>
      <c r="D13" s="242">
        <v>0.07704091891354076</v>
      </c>
      <c r="E13" s="242">
        <v>0.07446436386812544</v>
      </c>
      <c r="F13" s="146"/>
      <c r="G13" s="146"/>
      <c r="H13" s="146"/>
      <c r="I13" s="146"/>
      <c r="J13" s="146"/>
      <c r="K13" s="146"/>
      <c r="L13" s="146"/>
      <c r="M13" s="146"/>
      <c r="N13" s="146"/>
    </row>
    <row r="14">
      <c r="B14" t="s">
        <v>416</v>
      </c>
      <c r="C14" s="159">
        <f>$C$22/C7-1</f>
        <v>0.014652344622634317</v>
      </c>
      <c r="D14" s="159">
        <f>$C$22/D7-1</f>
        <v>0.24121794244859984</v>
      </c>
      <c r="E14" s="159">
        <f>$C$22/E7-1</f>
        <v>0.09915523893266509</v>
      </c>
      <c r="F14" s="146"/>
      <c r="G14" s="146"/>
      <c r="H14" s="146"/>
      <c r="I14" s="146"/>
      <c r="J14" s="146"/>
      <c r="K14" s="146"/>
      <c r="L14" s="146"/>
      <c r="M14" s="146"/>
      <c r="N14" s="146"/>
    </row>
    <row r="15">
      <c r="B15" t="s">
        <v>417</v>
      </c>
      <c r="C15" s="159">
        <f>C7/$C$23-1</f>
        <v>0.4496991908995247</v>
      </c>
      <c r="D15" s="159">
        <f>D7/$C$23-1</f>
        <v>0.18507848842561492</v>
      </c>
      <c r="E15" s="159">
        <f>E7/$C$23-1</f>
        <v>0.3382465287361007</v>
      </c>
      <c r="F15" s="146"/>
      <c r="G15" s="146"/>
      <c r="H15" s="146"/>
      <c r="I15" s="146"/>
      <c r="J15" s="146"/>
      <c r="K15" s="146"/>
      <c r="L15" s="146"/>
      <c r="M15" s="146"/>
      <c r="N15" s="146"/>
    </row>
    <row r="16"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</row>
    <row r="17">
      <c r="B17" t="s" s="125">
        <v>418</v>
      </c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>
      <c r="B18" t="s">
        <v>419</v>
      </c>
      <c r="C18" s="166">
        <v>0.108717911255006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</row>
    <row r="19">
      <c r="B19" t="s">
        <v>420</v>
      </c>
      <c r="C19" s="166">
        <v>0.025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</row>
    <row r="20">
      <c r="B20" t="s">
        <v>421</v>
      </c>
      <c r="C20" s="164">
        <v>21.8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</row>
    <row r="21">
      <c r="B21" t="s">
        <v>422</v>
      </c>
      <c r="C21" s="225">
        <v>311.130995306314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</row>
    <row r="22">
      <c r="B22" t="s">
        <v>320</v>
      </c>
      <c r="C22" s="165">
        <v>24.55</v>
      </c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</row>
    <row r="23">
      <c r="B23" t="s">
        <v>321</v>
      </c>
      <c r="C23" s="165">
        <v>16.69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</row>
    <row r="24"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</row>
    <row r="25">
      <c r="B25" t="s" s="125">
        <v>423</v>
      </c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</row>
    <row r="26">
      <c r="C26" t="s" s="11">
        <v>443</v>
      </c>
      <c r="D26" s="243">
        <v>0.015</v>
      </c>
      <c r="E26" s="243">
        <v>0.0175</v>
      </c>
      <c r="F26" s="243">
        <v>0.02</v>
      </c>
      <c r="G26" s="243">
        <v>0.0225</v>
      </c>
      <c r="H26" s="243">
        <v>0.025</v>
      </c>
      <c r="I26" s="243">
        <v>0.0275</v>
      </c>
      <c r="J26" s="243">
        <v>0.03</v>
      </c>
      <c r="K26" s="243">
        <v>0.0325</v>
      </c>
      <c r="L26" s="243">
        <v>0.035</v>
      </c>
      <c r="M26" s="146"/>
      <c r="N26" s="146"/>
    </row>
    <row r="27">
      <c r="C27" s="244">
        <v>0.0987179112550062</v>
      </c>
      <c r="D27" s="165">
        <v>21.2779348001183</v>
      </c>
      <c r="E27" s="165">
        <v>21.7270915255691</v>
      </c>
      <c r="F27" s="165">
        <v>22.2047777634452</v>
      </c>
      <c r="G27" s="165">
        <v>22.7138008767363</v>
      </c>
      <c r="H27" s="165">
        <v>23.2573490535177</v>
      </c>
      <c r="I27" s="165">
        <v>23.8390581484729</v>
      </c>
      <c r="J27" s="165">
        <v>24.4630931148298</v>
      </c>
      <c r="K27" s="165">
        <v>25.134247882652</v>
      </c>
      <c r="L27" s="165">
        <v>25.8580687497392</v>
      </c>
      <c r="M27" s="146"/>
      <c r="N27" s="146"/>
    </row>
    <row r="28">
      <c r="C28" s="244">
        <v>0.103717911255006</v>
      </c>
      <c r="D28" s="165">
        <v>19.7222618744828</v>
      </c>
      <c r="E28" s="165">
        <v>20.1063474872916</v>
      </c>
      <c r="F28" s="165">
        <v>20.5133723736113</v>
      </c>
      <c r="G28" s="165">
        <v>20.9454548414442</v>
      </c>
      <c r="H28" s="165">
        <v>21.404982299937</v>
      </c>
      <c r="I28" s="165">
        <v>21.894655392896</v>
      </c>
      <c r="J28" s="165">
        <v>22.4175411125167</v>
      </c>
      <c r="K28" s="165">
        <v>22.9771370999903</v>
      </c>
      <c r="L28" s="165">
        <v>23.5774499818845</v>
      </c>
      <c r="M28" s="146"/>
      <c r="N28" s="146"/>
    </row>
    <row r="29">
      <c r="C29" s="244">
        <v>0.108717911255006</v>
      </c>
      <c r="D29" s="165">
        <v>18.3378382464514</v>
      </c>
      <c r="E29" s="165">
        <v>18.6684961705708</v>
      </c>
      <c r="F29" s="165">
        <v>19.0177894479939</v>
      </c>
      <c r="G29" s="165">
        <v>19.3873391473332</v>
      </c>
      <c r="H29" s="245">
        <v>19.7789599718235</v>
      </c>
      <c r="I29" s="165">
        <v>20.1946900610339</v>
      </c>
      <c r="J29" s="165">
        <v>20.6368264714094</v>
      </c>
      <c r="K29" s="165">
        <v>21.1079676395311</v>
      </c>
      <c r="L29" s="165">
        <v>21.6110644857304</v>
      </c>
      <c r="M29" s="146"/>
      <c r="N29" s="146"/>
    </row>
    <row r="30">
      <c r="C30" s="244">
        <v>0.113717911255006</v>
      </c>
      <c r="D30" s="165">
        <v>17.0984780452791</v>
      </c>
      <c r="E30" s="165">
        <v>17.3848628569361</v>
      </c>
      <c r="F30" s="165">
        <v>17.6865267549396</v>
      </c>
      <c r="G30" s="165">
        <v>18.0047259963781</v>
      </c>
      <c r="H30" s="165">
        <v>18.3408584396321</v>
      </c>
      <c r="I30" s="165">
        <v>18.696484073939</v>
      </c>
      <c r="J30" s="165">
        <v>19.0733492273031</v>
      </c>
      <c r="K30" s="165">
        <v>19.4734152453251</v>
      </c>
      <c r="L30" s="165">
        <v>19.8988926348916</v>
      </c>
      <c r="M30" s="146"/>
      <c r="N30" s="146"/>
    </row>
    <row r="31">
      <c r="C31" s="244">
        <v>0.118717911255006</v>
      </c>
      <c r="D31" s="165">
        <v>15.9830511463268</v>
      </c>
      <c r="E31" s="165">
        <v>16.2324449460205</v>
      </c>
      <c r="F31" s="165">
        <v>16.4944703845182</v>
      </c>
      <c r="G31" s="165">
        <v>16.7701120736226</v>
      </c>
      <c r="H31" s="165">
        <v>17.0604596863552</v>
      </c>
      <c r="I31" s="165">
        <v>17.3667223539678</v>
      </c>
      <c r="J31" s="165">
        <v>17.6902454971305</v>
      </c>
      <c r="K31" s="165">
        <v>18.0325305853723</v>
      </c>
      <c r="L31" s="165">
        <v>18.3952584368838</v>
      </c>
      <c r="M31" s="146"/>
      <c r="N31" s="146"/>
    </row>
    <row r="32"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</row>
    <row r="33">
      <c r="B33" t="s" s="125">
        <v>424</v>
      </c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</row>
    <row r="34">
      <c r="C34" t="s" s="11">
        <v>443</v>
      </c>
      <c r="D34" s="235">
        <f>D26</f>
        <v>0.015</v>
      </c>
      <c r="E34" s="235">
        <f>E26</f>
        <v>0.0175</v>
      </c>
      <c r="F34" s="235">
        <f>F26</f>
        <v>0.02</v>
      </c>
      <c r="G34" s="235">
        <f>G26</f>
        <v>0.0225</v>
      </c>
      <c r="H34" s="235">
        <f>H26</f>
        <v>0.025</v>
      </c>
      <c r="I34" s="235">
        <f>I26</f>
        <v>0.0275</v>
      </c>
      <c r="J34" s="235">
        <f>J26</f>
        <v>0.03</v>
      </c>
      <c r="K34" s="235">
        <f>K26</f>
        <v>0.0325</v>
      </c>
      <c r="L34" s="235">
        <f>L26</f>
        <v>0.035</v>
      </c>
      <c r="M34" s="146"/>
      <c r="N34" s="146"/>
    </row>
    <row r="35">
      <c r="C35" s="236">
        <f>C27</f>
        <v>0.0987179112550062</v>
      </c>
      <c r="D35" s="149">
        <f>D27+(SUMPRODUCT(-$C$43:$M$43,$C$44:$M$44,1/(1+$C35)^$C$45:$M$45)-$N$43*(1+D$34)/($C35-D$34)/(1+$C35)^$M$45)/$C$21</f>
        <v>25.94227126534497</v>
      </c>
      <c r="E35" s="149">
        <f>E27+(SUMPRODUCT(-$C$43:$M$43,$C$44:$M$44,1/(1+$C35)^$C$45:$M$45)-$N$43*(1+E$34)/($C35-E$34)/(1+$C35)^$M$45)/$C$21</f>
        <v>26.45862366136968</v>
      </c>
      <c r="F35" s="149">
        <f>F27+(SUMPRODUCT(-$C$43:$M$43,$C$44:$M$44,1/(1+$C35)^$C$45:$M$45)-$N$43*(1+F$34)/($C35-F$34)/(1+$C35)^$M$45)/$C$21</f>
        <v>27.007773700763625</v>
      </c>
      <c r="G35" s="149">
        <f>G27+(SUMPRODUCT(-$C$43:$M$43,$C$44:$M$44,1/(1+$C35)^$C$45:$M$45)-$N$43*(1+G$34)/($C35-G$34)/(1+$C35)^$M$45)/$C$21</f>
        <v>27.59294873942306</v>
      </c>
      <c r="H35" s="149">
        <f>H27+(SUMPRODUCT(-$C$43:$M$43,$C$44:$M$44,1/(1+$C35)^$C$45:$M$45)-$N$43*(1+H$34)/($C35-H$34)/(1+$C35)^$M$45)/$C$21</f>
        <v>28.2178139313096</v>
      </c>
      <c r="I35" s="149">
        <f>I27+(SUMPRODUCT(-$C$43:$M$43,$C$44:$M$44,1/(1+$C35)^$C$45:$M$45)-$N$43*(1+I$34)/($C35-I$34)/(1+$C35)^$M$45)/$C$21</f>
        <v>28.886549069735988</v>
      </c>
      <c r="J35" s="149">
        <f>J27+(SUMPRODUCT(-$C$43:$M$43,$C$44:$M$44,1/(1+$C35)^$C$45:$M$45)-$N$43*(1+J$34)/($C35-J$34)/(1+$C35)^$M$45)/$C$21</f>
        <v>29.603942201850813</v>
      </c>
      <c r="K35" s="149">
        <f>K27+(SUMPRODUCT(-$C$43:$M$43,$C$44:$M$44,1/(1+$C35)^$C$45:$M$45)-$N$43*(1+K$34)/($C35-K$34)/(1+$C35)^$M$45)/$C$21</f>
        <v>30.37550444912784</v>
      </c>
      <c r="L35" s="149">
        <f>L27+(SUMPRODUCT(-$C$43:$M$43,$C$44:$M$44,1/(1+$C35)^$C$45:$M$45)-$N$43*(1+L$34)/($C35-L$34)/(1+$C35)^$M$45)/$C$21</f>
        <v>31.20761185804629</v>
      </c>
      <c r="M35" s="146"/>
      <c r="N35" s="146"/>
    </row>
    <row r="36">
      <c r="C36" s="236">
        <f>C28</f>
        <v>0.103717911255006</v>
      </c>
      <c r="D36" s="149">
        <f>D28+(SUMPRODUCT(-$C$43:$M$43,$C$44:$M$44,1/(1+$C36)^$C$45:$M$45)-$N$43*(1+D$34)/($C36-D$34)/(1+$C36)^$M$45)/$C$21</f>
        <v>24.141950516196637</v>
      </c>
      <c r="E36" s="149">
        <f>E28+(SUMPRODUCT(-$C$43:$M$43,$C$44:$M$44,1/(1+$C36)^$C$45:$M$45)-$N$43*(1+E$34)/($C36-E$34)/(1+$C36)^$M$45)/$C$21</f>
        <v>24.583496896813326</v>
      </c>
      <c r="F36" s="149">
        <f>F28+(SUMPRODUCT(-$C$43:$M$43,$C$44:$M$44,1/(1+$C36)^$C$45:$M$45)-$N$43*(1+F$34)/($C36-F$34)/(1+$C36)^$M$45)/$C$21</f>
        <v>25.051414359436045</v>
      </c>
      <c r="G36" s="149">
        <f>G28+(SUMPRODUCT(-$C$43:$M$43,$C$44:$M$44,1/(1+$C36)^$C$45:$M$45)-$N$43*(1+G$34)/($C36-G$34)/(1+$C36)^$M$45)/$C$21</f>
        <v>25.548138119548657</v>
      </c>
      <c r="H36" s="149">
        <f>H28+(SUMPRODUCT(-$C$43:$M$43,$C$44:$M$44,1/(1+$C36)^$C$45:$M$45)-$N$43*(1+H$34)/($C36-H$34)/(1+$C36)^$M$45)/$C$21</f>
        <v>26.07641275240373</v>
      </c>
      <c r="I36" s="149">
        <f>I28+(SUMPRODUCT(-$C$43:$M$43,$C$44:$M$44,1/(1+$C36)^$C$45:$M$45)-$N$43*(1+I$34)/($C36-I$34)/(1+$C36)^$M$45)/$C$21</f>
        <v>26.63934292909081</v>
      </c>
      <c r="J36" s="149">
        <f>J28+(SUMPRODUCT(-$C$43:$M$43,$C$44:$M$44,1/(1+$C36)^$C$45:$M$45)-$N$43*(1+J$34)/($C36-J$34)/(1+$C36)^$M$45)/$C$21</f>
        <v>27.240454476295795</v>
      </c>
      <c r="K36" s="149">
        <f>K28+(SUMPRODUCT(-$C$43:$M$43,$C$44:$M$44,1/(1+$C36)^$C$45:$M$45)-$N$43*(1+K$34)/($C36-K$34)/(1+$C36)^$M$45)/$C$21</f>
        <v>27.883768296539298</v>
      </c>
      <c r="L36" s="149">
        <f>L28+(SUMPRODUCT(-$C$43:$M$43,$C$44:$M$44,1/(1+$C36)^$C$45:$M$45)-$N$43*(1+L$34)/($C36-L$34)/(1+$C36)^$M$45)/$C$21</f>
        <v>28.573890423998183</v>
      </c>
      <c r="M36" s="146"/>
      <c r="N36" s="146"/>
    </row>
    <row r="37">
      <c r="C37" s="236">
        <f>C29</f>
        <v>0.108717911255006</v>
      </c>
      <c r="D37" s="149">
        <f>D29+(SUMPRODUCT(-$C$43:$M$43,$C$44:$M$44,1/(1+$C37)^$C$45:$M$45)-$N$43*(1+D$34)/($C37-D$34)/(1+$C37)^$M$45)/$C$21</f>
        <v>22.538760106879142</v>
      </c>
      <c r="E37" s="149">
        <f>E29+(SUMPRODUCT(-$C$43:$M$43,$C$44:$M$44,1/(1+$C37)^$C$45:$M$45)-$N$43*(1+E$34)/($C37-E$34)/(1+$C37)^$M$45)/$C$21</f>
        <v>22.91888579955858</v>
      </c>
      <c r="F37" s="149">
        <f>F29+(SUMPRODUCT(-$C$43:$M$43,$C$44:$M$44,1/(1+$C37)^$C$45:$M$45)-$N$43*(1+F$34)/($C37-F$34)/(1+$C37)^$M$45)/$C$21</f>
        <v>23.320434770091573</v>
      </c>
      <c r="G37" s="149">
        <f>G29+(SUMPRODUCT(-$C$43:$M$43,$C$44:$M$44,1/(1+$C37)^$C$45:$M$45)-$N$43*(1+G$34)/($C37-G$34)/(1+$C37)^$M$45)/$C$21</f>
        <v>23.745270605539755</v>
      </c>
      <c r="H37" s="237">
        <f>H29+(SUMPRODUCT(-$C$43:$M$43,$C$44:$M$44,1/(1+$C37)^$C$45:$M$45)-$N$43*(1+H$34)/($C37-H$34)/(1+$C37)^$M$45)/$C$21</f>
        <v>24.195479496113062</v>
      </c>
      <c r="I37" s="149">
        <f>I29+(SUMPRODUCT(-$C$43:$M$43,$C$44:$M$44,1/(1+$C37)^$C$45:$M$45)-$N$43*(1+I$34)/($C37-I$34)/(1+$C37)^$M$45)/$C$21</f>
        <v>24.673404495338904</v>
      </c>
      <c r="J37" s="149">
        <f>J29+(SUMPRODUCT(-$C$43:$M$43,$C$44:$M$44,1/(1+$C37)^$C$45:$M$45)-$N$43*(1+J$34)/($C37-J$34)/(1+$C37)^$M$45)/$C$21</f>
        <v>25.181686308636976</v>
      </c>
      <c r="K37" s="149">
        <f>K29+(SUMPRODUCT(-$C$43:$M$43,$C$44:$M$44,1/(1+$C37)^$C$45:$M$45)-$N$43*(1+K$34)/($C37-K$34)/(1+$C37)^$M$45)/$C$21</f>
        <v>25.723312109255602</v>
      </c>
      <c r="L37" s="149">
        <f>L29+(SUMPRODUCT(-$C$43:$M$43,$C$44:$M$44,1/(1+$C37)^$C$45:$M$45)-$N$43*(1+L$34)/($C37-L$34)/(1+$C37)^$M$45)/$C$21</f>
        <v>26.301674287194174</v>
      </c>
      <c r="M37" s="146"/>
      <c r="N37" s="146"/>
    </row>
    <row r="38">
      <c r="C38" s="236">
        <f>C30</f>
        <v>0.113717911255006</v>
      </c>
      <c r="D38" s="149">
        <f>D30+(SUMPRODUCT(-$C$43:$M$43,$C$44:$M$44,1/(1+$C38)^$C$45:$M$45)-$N$43*(1+D$34)/($C38-D$34)/(1+$C38)^$M$45)/$C$21</f>
        <v>21.102588731956825</v>
      </c>
      <c r="E38" s="149">
        <f>E30+(SUMPRODUCT(-$C$43:$M$43,$C$44:$M$44,1/(1+$C38)^$C$45:$M$45)-$N$43*(1+E$34)/($C38-E$34)/(1+$C38)^$M$45)/$C$21</f>
        <v>21.431817874714866</v>
      </c>
      <c r="F38" s="149">
        <f>F30+(SUMPRODUCT(-$C$43:$M$43,$C$44:$M$44,1/(1+$C38)^$C$45:$M$45)-$N$43*(1+F$34)/($C38-F$34)/(1+$C38)^$M$45)/$C$21</f>
        <v>21.778611917199548</v>
      </c>
      <c r="G38" s="149">
        <f>G30+(SUMPRODUCT(-$C$43:$M$43,$C$44:$M$44,1/(1+$C38)^$C$45:$M$45)-$N$43*(1+G$34)/($C38-G$34)/(1+$C38)^$M$45)/$C$21</f>
        <v>22.144415057662627</v>
      </c>
      <c r="H38" s="149">
        <f>H30+(SUMPRODUCT(-$C$43:$M$43,$C$44:$M$44,1/(1+$C38)^$C$45:$M$45)-$N$43*(1+H$34)/($C38-H$34)/(1+$C38)^$M$45)/$C$21</f>
        <v>22.530834279776354</v>
      </c>
      <c r="I38" s="149">
        <f>I30+(SUMPRODUCT(-$C$43:$M$43,$C$44:$M$44,1/(1+$C38)^$C$45:$M$45)-$N$43*(1+I$34)/($C38-I$34)/(1+$C38)^$M$45)/$C$21</f>
        <v>22.93966295350461</v>
      </c>
      <c r="J38" s="149">
        <f>J30+(SUMPRODUCT(-$C$43:$M$43,$C$44:$M$44,1/(1+$C38)^$C$45:$M$45)-$N$43*(1+J$34)/($C38-J$34)/(1+$C38)^$M$45)/$C$21</f>
        <v>23.37290866461462</v>
      </c>
      <c r="K38" s="149">
        <f>K30+(SUMPRODUCT(-$C$43:$M$43,$C$44:$M$44,1/(1+$C38)^$C$45:$M$45)-$N$43*(1+K$34)/($C38-K$34)/(1+$C38)^$M$45)/$C$21</f>
        <v>23.832826183975804</v>
      </c>
      <c r="L38" s="149">
        <f>L30+(SUMPRODUCT(-$C$43:$M$43,$C$44:$M$44,1/(1+$C38)^$C$45:$M$45)-$N$43*(1+L$34)/($C38-L$34)/(1+$C38)^$M$45)/$C$21</f>
        <v>24.321956719283953</v>
      </c>
      <c r="M38" s="146"/>
      <c r="N38" s="146"/>
    </row>
    <row r="39">
      <c r="C39" s="236">
        <f>C31</f>
        <v>0.118717911255006</v>
      </c>
      <c r="D39" s="149">
        <f>D31+(SUMPRODUCT(-$C$43:$M$43,$C$44:$M$44,1/(1+$C39)^$C$45:$M$45)-$N$43*(1+D$34)/($C39-D$34)/(1+$C39)^$M$45)/$C$21</f>
        <v>19.80913748902254</v>
      </c>
      <c r="E39" s="149">
        <f>E31+(SUMPRODUCT(-$C$43:$M$43,$C$44:$M$44,1/(1+$C39)^$C$45:$M$45)-$N$43*(1+E$34)/($C39-E$34)/(1+$C39)^$M$45)/$C$21</f>
        <v>20.0958416141724</v>
      </c>
      <c r="F39" s="149">
        <f>F31+(SUMPRODUCT(-$C$43:$M$43,$C$44:$M$44,1/(1+$C39)^$C$45:$M$45)-$N$43*(1+F$34)/($C39-F$34)/(1+$C39)^$M$45)/$C$21</f>
        <v>20.397067122600276</v>
      </c>
      <c r="G39" s="149">
        <f>G31+(SUMPRODUCT(-$C$43:$M$43,$C$44:$M$44,1/(1+$C39)^$C$45:$M$45)-$N$43*(1+G$34)/($C39-G$34)/(1+$C39)^$M$45)/$C$21</f>
        <v>20.71394592803395</v>
      </c>
      <c r="H39" s="149">
        <f>H31+(SUMPRODUCT(-$C$43:$M$43,$C$44:$M$44,1/(1+$C39)^$C$45:$M$45)-$N$43*(1+H$34)/($C39-H$34)/(1+$C39)^$M$45)/$C$21</f>
        <v>21.047730723005163</v>
      </c>
      <c r="I39" s="149">
        <f>I31+(SUMPRODUCT(-$C$43:$M$43,$C$44:$M$44,1/(1+$C39)^$C$45:$M$45)-$N$43*(1+I$34)/($C39-I$34)/(1+$C39)^$M$45)/$C$21</f>
        <v>21.39981152971238</v>
      </c>
      <c r="J39" s="149">
        <f>J31+(SUMPRODUCT(-$C$43:$M$43,$C$44:$M$44,1/(1+$C39)^$C$45:$M$45)-$N$43*(1+J$34)/($C39-J$34)/(1+$C39)^$M$45)/$C$21</f>
        <v>21.77173504922295</v>
      </c>
      <c r="K39" s="149">
        <f>K31+(SUMPRODUCT(-$C$43:$M$43,$C$44:$M$44,1/(1+$C39)^$C$45:$M$45)-$N$43*(1+K$34)/($C39-K$34)/(1+$C39)^$M$45)/$C$21</f>
        <v>22.165227377006318</v>
      </c>
      <c r="L39" s="149">
        <f>L31+(SUMPRODUCT(-$C$43:$M$43,$C$44:$M$44,1/(1+$C39)^$C$45:$M$45)-$N$43*(1+L$34)/($C39-L$34)/(1+$C39)^$M$45)/$C$21</f>
        <v>22.582220788481735</v>
      </c>
      <c r="M39" s="146"/>
      <c r="N39" s="146"/>
    </row>
    <row r="40"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</row>
    <row r="41">
      <c r="B41" t="s" s="125">
        <v>425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</row>
    <row r="42">
      <c r="C42" s="238">
        <f>DATE(2025,12,31)</f>
        <v>46022</v>
      </c>
      <c r="D42" s="239">
        <f>DATE(2026,12,31)</f>
        <v>46387</v>
      </c>
      <c r="E42" s="239">
        <f>DATE(2027,12,31)</f>
        <v>46752</v>
      </c>
      <c r="F42" s="239">
        <f>DATE(2028,12,31)</f>
        <v>47118</v>
      </c>
      <c r="G42" s="239">
        <f>DATE(2029,12,31)</f>
        <v>47483</v>
      </c>
      <c r="H42" s="239">
        <f>DATE(2030,12,31)</f>
        <v>47848</v>
      </c>
      <c r="I42" s="239">
        <f>DATE(2031,12,31)</f>
        <v>48213</v>
      </c>
      <c r="J42" s="239">
        <f>DATE(2032,12,31)</f>
        <v>48579</v>
      </c>
      <c r="K42" s="239">
        <f>DATE(2033,12,31)</f>
        <v>48944</v>
      </c>
      <c r="L42" s="239">
        <f>DATE(2034,12,31)</f>
        <v>49309</v>
      </c>
      <c r="M42" s="239">
        <f>DATE(2035,12,31)</f>
        <v>49674</v>
      </c>
      <c r="N42" t="s" s="209">
        <v>451</v>
      </c>
    </row>
    <row r="43">
      <c r="B43" t="s">
        <v>426</v>
      </c>
      <c r="C43" s="246">
        <v>-127</v>
      </c>
      <c r="D43" s="246">
        <v>-127</v>
      </c>
      <c r="E43" s="246">
        <v>-127</v>
      </c>
      <c r="F43" s="246">
        <v>-127</v>
      </c>
      <c r="G43" s="246">
        <v>-127</v>
      </c>
      <c r="H43" s="246">
        <v>-127</v>
      </c>
      <c r="I43" s="246">
        <v>-127</v>
      </c>
      <c r="J43" s="246">
        <v>-127</v>
      </c>
      <c r="K43" s="246">
        <v>-127</v>
      </c>
      <c r="L43" s="246">
        <v>-127</v>
      </c>
      <c r="M43" s="246">
        <v>-127</v>
      </c>
      <c r="N43" s="246">
        <v>-127</v>
      </c>
    </row>
    <row r="44">
      <c r="B44" t="s">
        <v>427</v>
      </c>
      <c r="C44" s="247">
        <v>0.0301369863013699</v>
      </c>
      <c r="D44" s="247">
        <v>1</v>
      </c>
      <c r="E44" s="247">
        <v>1</v>
      </c>
      <c r="F44" s="247">
        <v>1</v>
      </c>
      <c r="G44" s="247">
        <v>1</v>
      </c>
      <c r="H44" s="247">
        <v>1</v>
      </c>
      <c r="I44" s="247">
        <v>1</v>
      </c>
      <c r="J44" s="247">
        <v>1</v>
      </c>
      <c r="K44" s="247">
        <v>1</v>
      </c>
      <c r="L44" s="247">
        <v>1</v>
      </c>
      <c r="M44" s="247">
        <v>1</v>
      </c>
      <c r="N44" s="146"/>
    </row>
    <row r="45">
      <c r="B45" t="s">
        <v>428</v>
      </c>
      <c r="C45" s="248">
        <v>0.0150684931506849</v>
      </c>
      <c r="D45" s="248">
        <v>0.53013698630137</v>
      </c>
      <c r="E45" s="248">
        <v>1.53013698630137</v>
      </c>
      <c r="F45" s="248">
        <v>2.53287671232877</v>
      </c>
      <c r="G45" s="248">
        <v>3.53287671232877</v>
      </c>
      <c r="H45" s="248">
        <v>4.53287671232877</v>
      </c>
      <c r="I45" s="248">
        <v>5.53287671232877</v>
      </c>
      <c r="J45" s="248">
        <v>6.53561643835616</v>
      </c>
      <c r="K45" s="248">
        <v>7.53561643835616</v>
      </c>
      <c r="L45" s="248">
        <v>8.53561643835616</v>
      </c>
      <c r="M45" s="248">
        <v>9.53561643835616</v>
      </c>
      <c r="N45" s="146"/>
    </row>
    <row r="46">
      <c r="B46" t="s">
        <v>429</v>
      </c>
      <c r="C46" s="149">
        <f>H37</f>
        <v>24.195479496113062</v>
      </c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</row>
    <row r="47">
      <c r="B47" t="s">
        <v>430</v>
      </c>
      <c r="C47" s="149">
        <f>C7</f>
        <v>24.19547949611307</v>
      </c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</row>
    <row r="48">
      <c r="B48" t="s">
        <v>431</v>
      </c>
      <c r="C48" s="150">
        <f>C46-C47</f>
        <v>0</v>
      </c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</row>
    <row r="49"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</row>
    <row r="50">
      <c r="B50" t="s" s="125">
        <v>432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</row>
    <row r="51">
      <c r="C51" t="s" s="209">
        <v>279</v>
      </c>
      <c r="D51" t="s" s="209">
        <v>447</v>
      </c>
      <c r="E51" t="s" s="209">
        <v>280</v>
      </c>
      <c r="F51" t="s" s="209">
        <v>449</v>
      </c>
      <c r="G51" t="s" s="209">
        <v>450</v>
      </c>
      <c r="H51" s="146"/>
      <c r="I51" s="146"/>
      <c r="J51" s="146"/>
      <c r="K51" s="146"/>
      <c r="L51" s="146"/>
      <c r="M51" s="146"/>
      <c r="N51" s="146"/>
    </row>
    <row r="52">
      <c r="B52" t="s">
        <v>433</v>
      </c>
      <c r="C52" s="149">
        <f>F38</f>
        <v>21.778611917199548</v>
      </c>
      <c r="D52" s="149">
        <f>H37</f>
        <v>24.195479496113062</v>
      </c>
      <c r="E52" s="149">
        <f>J36</f>
        <v>27.240454476295795</v>
      </c>
      <c r="F52" t="str" s="51">
        <f>TEXT($C$38,"0.00%")&amp;" / "&amp;TEXT(F$34,"0.00%")</f>
        <v>11.37% / 2.00%</v>
      </c>
      <c r="G52" t="str" s="51">
        <f>TEXT($C$36,"0.00%")&amp;" / "&amp;TEXT(J$34,"0.00%")</f>
        <v>10.37% / 3.00%</v>
      </c>
      <c r="H52" s="146"/>
      <c r="I52" s="146"/>
      <c r="J52" s="146"/>
      <c r="K52" s="146"/>
      <c r="L52" s="146"/>
      <c r="M52" s="146"/>
      <c r="N52" s="146"/>
    </row>
    <row r="53">
      <c r="B53" t="s">
        <v>434</v>
      </c>
      <c r="C53" s="149">
        <f>F30</f>
        <v>17.6865267549396</v>
      </c>
      <c r="D53" s="149">
        <f>H29</f>
        <v>19.7789599718235</v>
      </c>
      <c r="E53" s="149">
        <f>J28</f>
        <v>22.4175411125167</v>
      </c>
      <c r="F53" t="str" s="51">
        <f>TEXT($C$30,"0.00%")&amp;" / "&amp;TEXT(F$26,"0.00%")</f>
        <v>11.37% / 2.00%</v>
      </c>
      <c r="G53" t="str" s="51">
        <f>TEXT($C$28,"0.00%")&amp;" / "&amp;TEXT(J$26,"0.00%")</f>
        <v>10.37% / 3.00%</v>
      </c>
      <c r="H53" s="146"/>
      <c r="I53" s="146"/>
      <c r="J53" s="146"/>
      <c r="K53" s="146"/>
      <c r="L53" s="146"/>
      <c r="M53" s="146"/>
      <c r="N53" s="146"/>
    </row>
    <row r="54"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</row>
    <row r="55">
      <c r="B55" t="s" s="125">
        <v>435</v>
      </c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</row>
    <row r="56">
      <c r="B56" t="s">
        <v>436</v>
      </c>
      <c r="C56" s="249">
        <v>23.75</v>
      </c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</row>
    <row r="57">
      <c r="B57" t="s">
        <v>437</v>
      </c>
      <c r="C57" s="249">
        <v>-0.040824086817679</v>
      </c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</row>
    <row r="58">
      <c r="B58" t="s">
        <v>438</v>
      </c>
      <c r="C58" s="249">
        <v>-1.98936555966671</v>
      </c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</row>
    <row r="59">
      <c r="B59" t="s">
        <v>439</v>
      </c>
      <c r="C59" s="249">
        <v>-8.5535673137695</v>
      </c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</row>
    <row r="60">
      <c r="B60" t="s">
        <v>440</v>
      </c>
      <c r="C60" s="249">
        <v>6.6127169320774</v>
      </c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</row>
    <row r="61">
      <c r="B61" t="s" s="186">
        <v>441</v>
      </c>
      <c r="C61" s="241">
        <f>SUM(C56:C60)</f>
        <v>19.77895997182351</v>
      </c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</row>
  </sheetData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0"/>
  <sheetViews>
    <sheetView showGridLines="0" workbookViewId="0">
      <selection activeCell="A1" sqref="A1"/>
    </sheetView>
  </sheetViews>
  <cols>
    <col min="1" max="1" width="2.21875" customWidth="1"/>
    <col min="2" max="2" width="64.64453125" customWidth="1"/>
    <col min="3" max="8" width="14.07421875" customWidth="1"/>
    <col min="9" max="9" width="3.7890625" customWidth="1"/>
    <col min="10" max="10" width="87.50390625" customWidth="1"/>
  </cols>
  <sheetData>
    <row r="1" ht="8" customHeight="1"/>
    <row r="2">
      <c r="B2" t="s" s="141">
        <v>668</v>
      </c>
    </row>
    <row r="3">
      <c r="B3" t="s" s="142">
        <v>669</v>
      </c>
    </row>
    <row r="5">
      <c r="B5" t="s" s="125">
        <v>457</v>
      </c>
      <c r="C5" s="125"/>
      <c r="D5" s="125"/>
      <c r="E5" s="125"/>
      <c r="F5" s="125"/>
      <c r="G5" s="125"/>
      <c r="H5" s="125"/>
      <c r="I5" s="125"/>
      <c r="J5" s="125"/>
    </row>
    <row r="6">
      <c r="B6" t="s">
        <v>458</v>
      </c>
      <c r="C6" s="251">
        <f>DATE(2025,12,31)</f>
        <v>46022</v>
      </c>
      <c r="D6" s="146"/>
      <c r="E6" s="146"/>
      <c r="F6" s="146"/>
      <c r="G6" s="146"/>
      <c r="H6" s="146"/>
      <c r="J6" t="s" s="142">
        <v>709</v>
      </c>
    </row>
    <row r="7">
      <c r="B7" t="s">
        <v>459</v>
      </c>
      <c r="C7" s="251">
        <f>DATE(2030,12,31)</f>
        <v>47848</v>
      </c>
      <c r="D7" s="146"/>
      <c r="E7" s="146"/>
      <c r="F7" s="146"/>
      <c r="G7" s="146"/>
      <c r="H7" s="146"/>
      <c r="J7" t="s" s="142">
        <v>710</v>
      </c>
    </row>
    <row r="8">
      <c r="B8" t="s">
        <v>320</v>
      </c>
      <c r="C8" s="165">
        <v>24.55</v>
      </c>
      <c r="D8" s="146"/>
      <c r="E8" s="146"/>
      <c r="F8" s="146"/>
      <c r="G8" s="146"/>
      <c r="H8" s="146"/>
      <c r="J8" s="142"/>
    </row>
    <row r="9">
      <c r="B9" t="s">
        <v>321</v>
      </c>
      <c r="C9" s="165">
        <v>16.69</v>
      </c>
      <c r="D9" s="146"/>
      <c r="E9" s="146"/>
      <c r="F9" s="146"/>
      <c r="G9" s="146"/>
      <c r="H9" s="146"/>
      <c r="J9" s="142"/>
    </row>
    <row r="10">
      <c r="B10" t="s">
        <v>670</v>
      </c>
      <c r="C10" s="163">
        <v>2700</v>
      </c>
      <c r="D10" s="146"/>
      <c r="E10" s="146"/>
      <c r="F10" s="146"/>
      <c r="G10" s="146"/>
      <c r="H10" s="146"/>
      <c r="J10" s="142"/>
    </row>
    <row r="11">
      <c r="B11" t="s">
        <v>671</v>
      </c>
      <c r="C11" s="163">
        <v>500</v>
      </c>
      <c r="D11" s="146"/>
      <c r="E11" s="146"/>
      <c r="F11" s="146"/>
      <c r="G11" s="146"/>
      <c r="H11" s="146"/>
      <c r="J11" s="142"/>
    </row>
    <row r="12">
      <c r="B12" t="s">
        <v>672</v>
      </c>
      <c r="C12" s="260">
        <v>0</v>
      </c>
      <c r="D12" s="146"/>
      <c r="E12" s="146"/>
      <c r="F12" s="146"/>
      <c r="G12" s="146"/>
      <c r="H12" s="146"/>
      <c r="J12" t="s" s="142">
        <v>711</v>
      </c>
    </row>
    <row r="13">
      <c r="B13" t="s">
        <v>673</v>
      </c>
      <c r="C13" s="163">
        <v>325</v>
      </c>
      <c r="D13" s="146"/>
      <c r="E13" s="146"/>
      <c r="F13" s="146"/>
      <c r="G13" s="146"/>
      <c r="H13" s="146"/>
      <c r="J13" s="142"/>
    </row>
    <row r="14">
      <c r="B14" t="s">
        <v>674</v>
      </c>
      <c r="C14" s="260">
        <v>0</v>
      </c>
      <c r="D14" s="146"/>
      <c r="E14" s="146"/>
      <c r="F14" s="146"/>
      <c r="G14" s="146"/>
      <c r="H14" s="146"/>
      <c r="J14" t="s" s="142">
        <v>712</v>
      </c>
    </row>
    <row r="15">
      <c r="B15" t="s">
        <v>675</v>
      </c>
      <c r="C15" s="265">
        <v>7</v>
      </c>
      <c r="D15" s="146"/>
      <c r="E15" s="146"/>
      <c r="F15" s="146"/>
      <c r="G15" s="146"/>
      <c r="H15" s="146"/>
      <c r="J15" s="142"/>
    </row>
    <row r="16">
      <c r="B16" t="s">
        <v>676</v>
      </c>
      <c r="C16" s="166">
        <v>0</v>
      </c>
      <c r="D16" s="146"/>
      <c r="E16" s="146"/>
      <c r="F16" s="146"/>
      <c r="G16" s="146"/>
      <c r="H16" s="146"/>
      <c r="J16" t="s" s="142">
        <v>713</v>
      </c>
    </row>
    <row r="17">
      <c r="B17" t="s">
        <v>677</v>
      </c>
      <c r="C17" s="166">
        <v>0.045</v>
      </c>
      <c r="D17" s="146"/>
      <c r="E17" s="146"/>
      <c r="F17" s="146"/>
      <c r="G17" s="146"/>
      <c r="H17" s="146"/>
      <c r="J17" s="142"/>
    </row>
    <row r="18">
      <c r="B18" t="s">
        <v>678</v>
      </c>
      <c r="C18" s="166">
        <v>0.0025</v>
      </c>
      <c r="D18" s="146"/>
      <c r="E18" s="146"/>
      <c r="F18" s="146"/>
      <c r="G18" s="146"/>
      <c r="H18" s="146"/>
      <c r="J18" s="142"/>
    </row>
    <row r="19">
      <c r="B19" t="s">
        <v>679</v>
      </c>
      <c r="C19" s="261">
        <v>7.5</v>
      </c>
      <c r="D19" s="146"/>
      <c r="E19" s="146"/>
      <c r="F19" s="146"/>
      <c r="G19" s="146"/>
      <c r="H19" s="146"/>
      <c r="J19" s="142"/>
    </row>
    <row r="20">
      <c r="B20" t="s">
        <v>680</v>
      </c>
      <c r="C20" s="166">
        <v>0.005</v>
      </c>
      <c r="D20" s="146"/>
      <c r="E20" s="146"/>
      <c r="F20" s="146"/>
      <c r="G20" s="146"/>
      <c r="H20" s="146"/>
      <c r="J20" s="142"/>
    </row>
    <row r="21">
      <c r="B21" t="s">
        <v>463</v>
      </c>
      <c r="C21" s="166">
        <v>0.0446</v>
      </c>
      <c r="D21" s="146"/>
      <c r="E21" s="146"/>
      <c r="F21" s="146"/>
      <c r="G21" s="146"/>
      <c r="H21" s="146"/>
      <c r="J21" s="142"/>
    </row>
    <row r="22">
      <c r="B22" t="s">
        <v>681</v>
      </c>
      <c r="C22" s="166">
        <v>0.0225</v>
      </c>
      <c r="D22" s="146"/>
      <c r="E22" s="146"/>
      <c r="F22" s="146"/>
      <c r="G22" s="146"/>
      <c r="H22" s="146"/>
      <c r="J22" s="142"/>
    </row>
    <row r="23">
      <c r="B23" t="s">
        <v>465</v>
      </c>
      <c r="C23" s="157">
        <f>C21/(1-C27)-C22</f>
        <v>0.03696666666666667</v>
      </c>
      <c r="D23" s="146"/>
      <c r="E23" s="146"/>
      <c r="F23" s="146"/>
      <c r="G23" s="146"/>
      <c r="H23" s="146"/>
      <c r="J23" t="s" s="142">
        <v>714</v>
      </c>
    </row>
    <row r="24">
      <c r="B24" t="s">
        <v>682</v>
      </c>
      <c r="C24" s="231">
        <v>0.5</v>
      </c>
      <c r="D24" s="146"/>
      <c r="E24" s="146"/>
      <c r="F24" s="146"/>
      <c r="G24" s="146"/>
      <c r="H24" s="146"/>
      <c r="J24" s="142"/>
    </row>
    <row r="25">
      <c r="B25" t="s">
        <v>683</v>
      </c>
      <c r="C25" s="166">
        <v>0.0025</v>
      </c>
      <c r="D25" s="146"/>
      <c r="E25" s="146"/>
      <c r="F25" s="146"/>
      <c r="G25" s="146"/>
      <c r="H25" s="146"/>
      <c r="J25" s="142"/>
    </row>
    <row r="26">
      <c r="B26" t="s">
        <v>684</v>
      </c>
      <c r="C26" s="263">
        <v>1</v>
      </c>
      <c r="D26" s="146"/>
      <c r="E26" s="146"/>
      <c r="F26" s="146"/>
      <c r="G26" s="146"/>
      <c r="H26" s="146"/>
      <c r="J26" t="s" s="142">
        <v>715</v>
      </c>
    </row>
    <row r="27">
      <c r="B27" t="s">
        <v>464</v>
      </c>
      <c r="C27" s="231">
        <v>0.25</v>
      </c>
      <c r="D27" s="146"/>
      <c r="E27" s="146"/>
      <c r="F27" s="146"/>
      <c r="G27" s="146"/>
      <c r="H27" s="146"/>
      <c r="J27" s="142"/>
    </row>
    <row r="28">
      <c r="B28" t="s">
        <v>472</v>
      </c>
      <c r="C28" s="262">
        <v>0.005</v>
      </c>
      <c r="D28" s="146"/>
      <c r="E28" s="146"/>
      <c r="F28" s="146"/>
      <c r="G28" s="146"/>
      <c r="H28" s="146"/>
      <c r="J28" s="142"/>
    </row>
    <row r="29">
      <c r="B29" t="s">
        <v>685</v>
      </c>
      <c r="C29" s="262">
        <v>0.00125</v>
      </c>
      <c r="D29" s="146"/>
      <c r="E29" s="146"/>
      <c r="F29" s="146"/>
      <c r="G29" s="146"/>
      <c r="H29" s="146"/>
      <c r="J29" s="142"/>
    </row>
    <row r="30">
      <c r="B30" t="s">
        <v>686</v>
      </c>
      <c r="C30" s="261">
        <v>7.5</v>
      </c>
      <c r="D30" s="261">
        <v>7</v>
      </c>
      <c r="E30" s="146"/>
      <c r="F30" s="146"/>
      <c r="G30" s="146"/>
      <c r="H30" s="146"/>
      <c r="J30" s="142"/>
    </row>
    <row r="31">
      <c r="B31" t="s">
        <v>687</v>
      </c>
      <c r="C31" s="166">
        <v>0.005</v>
      </c>
      <c r="D31" s="146"/>
      <c r="E31" s="146"/>
      <c r="F31" s="146"/>
      <c r="G31" s="146"/>
      <c r="H31" s="146"/>
      <c r="J31" s="142"/>
    </row>
    <row r="32">
      <c r="B32" t="s">
        <v>688</v>
      </c>
      <c r="C32" s="166">
        <v>0.01</v>
      </c>
      <c r="D32" s="146"/>
      <c r="E32" s="146"/>
      <c r="F32" s="146"/>
      <c r="G32" s="146"/>
      <c r="H32" s="146"/>
      <c r="J32" s="142"/>
    </row>
    <row r="33">
      <c r="B33" t="s">
        <v>689</v>
      </c>
      <c r="C33" s="265">
        <v>90</v>
      </c>
      <c r="D33" s="146"/>
      <c r="E33" t="s" s="160">
        <v>761</v>
      </c>
      <c r="F33" s="263">
        <v>365</v>
      </c>
      <c r="G33" s="146"/>
      <c r="H33" s="146"/>
      <c r="J33" s="142"/>
    </row>
    <row r="34">
      <c r="B34" t="s">
        <v>690</v>
      </c>
      <c r="C34" s="265">
        <v>30</v>
      </c>
      <c r="D34" s="146"/>
      <c r="E34" t="s" s="160">
        <v>762</v>
      </c>
      <c r="F34" s="263">
        <v>12</v>
      </c>
      <c r="G34" s="146"/>
      <c r="H34" s="146"/>
      <c r="J34" s="142"/>
    </row>
    <row r="35">
      <c r="B35" t="s">
        <v>691</v>
      </c>
      <c r="C35" s="166">
        <v>0.01</v>
      </c>
      <c r="D35" s="146"/>
      <c r="E35" s="146"/>
      <c r="F35" s="146"/>
      <c r="G35" s="146"/>
      <c r="H35" s="146"/>
      <c r="J35" t="s" s="142">
        <v>716</v>
      </c>
    </row>
    <row r="36">
      <c r="B36" t="s">
        <v>478</v>
      </c>
      <c r="C36" s="264">
        <v>124.142631</v>
      </c>
      <c r="D36" s="146"/>
      <c r="E36" s="146"/>
      <c r="F36" s="146"/>
      <c r="G36" s="146"/>
      <c r="H36" s="146"/>
      <c r="J36" s="142"/>
    </row>
    <row r="37">
      <c r="B37" t="s">
        <v>692</v>
      </c>
      <c r="C37" s="264">
        <v>175</v>
      </c>
      <c r="D37" s="146"/>
      <c r="E37" s="146"/>
      <c r="F37" s="146"/>
      <c r="G37" s="146"/>
      <c r="H37" s="146"/>
      <c r="J37" t="s" s="142">
        <v>717</v>
      </c>
    </row>
    <row r="38">
      <c r="B38" t="s">
        <v>480</v>
      </c>
      <c r="C38" s="264">
        <v>859</v>
      </c>
      <c r="D38" s="146"/>
      <c r="E38" s="146"/>
      <c r="F38" s="146"/>
      <c r="G38" s="146"/>
      <c r="H38" s="146"/>
      <c r="J38" t="s" s="142">
        <v>718</v>
      </c>
    </row>
    <row r="39">
      <c r="B39" t="s">
        <v>481</v>
      </c>
      <c r="C39" s="264">
        <v>60.8</v>
      </c>
      <c r="D39" s="146"/>
      <c r="E39" s="146"/>
      <c r="F39" s="146"/>
      <c r="G39" s="146"/>
      <c r="H39" s="146"/>
      <c r="J39" s="142"/>
    </row>
    <row r="40">
      <c r="B40" t="s">
        <v>482</v>
      </c>
      <c r="C40" s="264">
        <v>3.4</v>
      </c>
      <c r="D40" s="146"/>
      <c r="E40" s="146"/>
      <c r="F40" s="146"/>
      <c r="G40" s="146"/>
      <c r="H40" s="146"/>
      <c r="J40" s="142"/>
    </row>
    <row r="41">
      <c r="B41" t="s">
        <v>477</v>
      </c>
      <c r="C41" s="264">
        <v>100</v>
      </c>
      <c r="D41" s="146"/>
      <c r="E41" s="146"/>
      <c r="F41" s="146"/>
      <c r="G41" s="146"/>
      <c r="H41" s="146"/>
      <c r="J41" t="s" s="142">
        <v>557</v>
      </c>
    </row>
    <row r="42">
      <c r="B42" t="s">
        <v>693</v>
      </c>
      <c r="C42" s="264">
        <v>5904.969802</v>
      </c>
      <c r="D42" s="146"/>
      <c r="E42" s="146"/>
      <c r="F42" s="146"/>
      <c r="G42" s="146"/>
      <c r="H42" s="146"/>
      <c r="J42" s="142"/>
    </row>
    <row r="43">
      <c r="B43" t="s">
        <v>483</v>
      </c>
      <c r="C43" s="264">
        <v>10</v>
      </c>
      <c r="D43" s="146"/>
      <c r="E43" s="146"/>
      <c r="F43" s="146"/>
      <c r="G43" s="146"/>
      <c r="H43" s="146"/>
      <c r="J43" t="s" s="142">
        <v>557</v>
      </c>
    </row>
    <row r="44">
      <c r="B44" t="s">
        <v>484</v>
      </c>
      <c r="C44" s="264">
        <v>32</v>
      </c>
      <c r="D44" s="146"/>
      <c r="E44" s="146"/>
      <c r="F44" s="146"/>
      <c r="G44" s="146"/>
      <c r="H44" s="146"/>
      <c r="J44" t="s" s="142">
        <v>559</v>
      </c>
    </row>
    <row r="45">
      <c r="B45" t="s">
        <v>485</v>
      </c>
      <c r="C45" s="167">
        <v>0.075</v>
      </c>
      <c r="D45" s="146"/>
      <c r="E45" s="146"/>
      <c r="F45" s="146"/>
      <c r="G45" s="146"/>
      <c r="H45" s="146"/>
      <c r="J45" t="s" s="142">
        <v>557</v>
      </c>
    </row>
    <row r="46">
      <c r="B46" t="s">
        <v>694</v>
      </c>
      <c r="C46" s="210">
        <v>0.3</v>
      </c>
      <c r="D46" s="146"/>
      <c r="E46" s="146"/>
      <c r="F46" s="146"/>
      <c r="G46" s="146"/>
      <c r="H46" s="146"/>
      <c r="J46" t="s" s="142">
        <v>719</v>
      </c>
    </row>
    <row r="47">
      <c r="B47" t="s">
        <v>488</v>
      </c>
      <c r="C47" s="163">
        <v>672</v>
      </c>
      <c r="D47" s="146"/>
      <c r="E47" s="146"/>
      <c r="F47" s="146"/>
      <c r="G47" s="146"/>
      <c r="H47" s="146"/>
      <c r="J47" s="142"/>
    </row>
    <row r="48">
      <c r="B48" t="s">
        <v>489</v>
      </c>
      <c r="C48" s="231">
        <v>0.8</v>
      </c>
      <c r="D48" s="146"/>
      <c r="E48" s="146"/>
      <c r="F48" s="146"/>
      <c r="G48" s="146"/>
      <c r="H48" s="146"/>
      <c r="J48" s="142"/>
    </row>
    <row r="49">
      <c r="B49" t="s">
        <v>695</v>
      </c>
      <c r="C49" s="280">
        <v>22</v>
      </c>
      <c r="D49" s="146"/>
      <c r="E49" s="146"/>
      <c r="F49" s="146"/>
      <c r="G49" s="146"/>
      <c r="H49" s="146"/>
      <c r="J49" t="s" s="142">
        <v>720</v>
      </c>
    </row>
    <row r="50">
      <c r="B50" t="s">
        <v>487</v>
      </c>
      <c r="C50" s="210">
        <v>0.225</v>
      </c>
      <c r="D50" s="146"/>
      <c r="E50" s="146"/>
      <c r="F50" s="146"/>
      <c r="G50" s="146"/>
      <c r="H50" s="146"/>
      <c r="J50" t="s" s="142">
        <v>561</v>
      </c>
    </row>
    <row r="51">
      <c r="B51" t="s">
        <v>696</v>
      </c>
      <c r="C51" s="213">
        <f>(Comps!X60+Comps!X61+Comps!X62+Comps!X63)/10^6</f>
        <v>305.670631</v>
      </c>
      <c r="D51" s="146"/>
      <c r="E51" s="146"/>
      <c r="F51" s="146"/>
      <c r="G51" s="146"/>
      <c r="H51" s="146"/>
      <c r="J51" s="142"/>
    </row>
    <row r="52">
      <c r="B52" t="s">
        <v>697</v>
      </c>
      <c r="C52" s="213">
        <f>(Comps!X62+Comps!X63)/10^6</f>
        <v>12.531876</v>
      </c>
      <c r="D52" s="146"/>
      <c r="E52" s="146"/>
      <c r="F52" s="146"/>
      <c r="G52" s="146"/>
      <c r="H52" s="146"/>
      <c r="J52" t="s" s="142">
        <v>721</v>
      </c>
    </row>
    <row r="53">
      <c r="B53" t="s">
        <v>327</v>
      </c>
      <c r="C53" s="213">
        <f>Comps!X64/10^6</f>
        <v>7.590682</v>
      </c>
      <c r="D53" s="146"/>
      <c r="E53" s="146"/>
      <c r="F53" s="146"/>
      <c r="G53" s="146"/>
      <c r="H53" s="146"/>
      <c r="J53" s="142"/>
    </row>
    <row r="54">
      <c r="B54" t="s">
        <v>328</v>
      </c>
      <c r="C54" s="165">
        <v>9.09</v>
      </c>
      <c r="D54" s="146"/>
      <c r="E54" s="146"/>
      <c r="F54" s="146"/>
      <c r="G54" s="146"/>
      <c r="H54" s="146"/>
      <c r="J54" s="142"/>
    </row>
    <row r="55">
      <c r="B55" t="s">
        <v>494</v>
      </c>
      <c r="C55" s="264">
        <v>16.7</v>
      </c>
      <c r="D55" s="146"/>
      <c r="E55" s="146"/>
      <c r="F55" s="146"/>
      <c r="G55" s="146"/>
      <c r="H55" s="146"/>
      <c r="J55" s="142"/>
    </row>
    <row r="56">
      <c r="C56" s="146"/>
      <c r="D56" s="146"/>
      <c r="E56" s="146"/>
      <c r="F56" s="146"/>
      <c r="G56" s="146"/>
      <c r="H56" s="146"/>
    </row>
    <row r="57">
      <c r="B57" t="s" s="125">
        <v>698</v>
      </c>
      <c r="C57" s="134"/>
      <c r="D57" s="134"/>
      <c r="E57" s="134"/>
      <c r="F57" s="134"/>
      <c r="G57" s="134"/>
      <c r="H57" s="134"/>
      <c r="I57" s="125"/>
      <c r="J57" s="125"/>
    </row>
    <row r="58">
      <c r="B58" t="s" s="208">
        <v>496</v>
      </c>
      <c r="C58" t="s" s="209">
        <v>272</v>
      </c>
      <c r="D58" s="209"/>
      <c r="E58" t="s" s="10">
        <v>546</v>
      </c>
      <c r="F58" s="209"/>
      <c r="G58" t="s" s="209">
        <v>272</v>
      </c>
      <c r="H58" s="146"/>
    </row>
    <row r="59">
      <c r="B59" t="s">
        <v>497</v>
      </c>
      <c r="C59" s="240">
        <f>C158</f>
        <v>6938.27823857831</v>
      </c>
      <c r="D59" s="146"/>
      <c r="E59" t="s" s="160">
        <v>706</v>
      </c>
      <c r="F59" s="146"/>
      <c r="G59" s="240">
        <f>C10</f>
        <v>2700</v>
      </c>
      <c r="H59" s="146"/>
    </row>
    <row r="60">
      <c r="B60" t="s">
        <v>498</v>
      </c>
      <c r="C60" s="240">
        <f>C38</f>
        <v>859</v>
      </c>
      <c r="D60" s="146"/>
      <c r="E60" t="s" s="160">
        <v>707</v>
      </c>
      <c r="F60" s="146"/>
      <c r="G60" s="240">
        <f>C12</f>
        <v>0</v>
      </c>
      <c r="H60" s="146"/>
    </row>
    <row r="61">
      <c r="B61" t="s">
        <v>478</v>
      </c>
      <c r="C61" s="240">
        <f>C36</f>
        <v>124.142631</v>
      </c>
      <c r="D61" s="146"/>
      <c r="E61" t="s" s="160">
        <v>708</v>
      </c>
      <c r="F61" s="146"/>
      <c r="G61" s="240">
        <f>C14</f>
        <v>0</v>
      </c>
      <c r="H61" s="146"/>
    </row>
    <row r="62">
      <c r="B62" t="s">
        <v>692</v>
      </c>
      <c r="C62" s="240">
        <f>C37</f>
        <v>175</v>
      </c>
      <c r="D62" s="146"/>
      <c r="E62" t="s" s="160">
        <v>763</v>
      </c>
      <c r="F62" s="146"/>
      <c r="G62" s="240">
        <f>C39+C40</f>
        <v>64.2</v>
      </c>
      <c r="H62" s="146"/>
    </row>
    <row r="63">
      <c r="B63" t="s">
        <v>501</v>
      </c>
      <c r="C63" s="240">
        <f>C41</f>
        <v>100</v>
      </c>
      <c r="D63" s="146"/>
      <c r="E63" t="s" s="160">
        <v>550</v>
      </c>
      <c r="F63" s="146"/>
      <c r="G63" s="240">
        <f>C64-SUM(G59:G62)</f>
        <v>5432.220869578309</v>
      </c>
      <c r="H63" s="146"/>
    </row>
    <row r="64">
      <c r="B64" t="s" s="186">
        <v>502</v>
      </c>
      <c r="C64" s="253">
        <f>SUM(C59:C63)</f>
        <v>8196.420869578309</v>
      </c>
      <c r="D64" s="146"/>
      <c r="E64" t="s" s="187">
        <v>551</v>
      </c>
      <c r="F64" s="195"/>
      <c r="G64" s="253">
        <f>SUM(G59:G63)</f>
        <v>8196.420869578309</v>
      </c>
      <c r="H64" s="146"/>
    </row>
    <row r="65">
      <c r="B65" t="s">
        <v>503</v>
      </c>
      <c r="C65" s="240">
        <f>C157</f>
        <v>5432.22086957831</v>
      </c>
      <c r="D65" s="146"/>
      <c r="E65" s="146"/>
      <c r="F65" s="146"/>
      <c r="G65" s="146"/>
      <c r="H65" s="146"/>
    </row>
    <row r="66">
      <c r="B66" t="s">
        <v>504</v>
      </c>
      <c r="C66" s="240">
        <f>G63</f>
        <v>5432.220869578309</v>
      </c>
      <c r="D66" s="146"/>
      <c r="E66" s="146"/>
      <c r="F66" s="146"/>
      <c r="G66" s="146"/>
      <c r="H66" s="146"/>
    </row>
    <row r="67">
      <c r="B67" t="s">
        <v>431</v>
      </c>
      <c r="C67" s="240">
        <f>C65-C66</f>
        <v>0</v>
      </c>
      <c r="D67" s="146"/>
      <c r="E67" s="146"/>
      <c r="F67" s="146"/>
      <c r="G67" s="146"/>
      <c r="H67" s="146"/>
    </row>
    <row r="68">
      <c r="B68" t="s">
        <v>699</v>
      </c>
      <c r="C68" s="240">
        <f>C136</f>
        <v>6132.208565770001</v>
      </c>
      <c r="D68" s="146"/>
      <c r="E68" s="146"/>
      <c r="F68" s="146"/>
      <c r="G68" s="146"/>
      <c r="H68" s="146"/>
    </row>
    <row r="69">
      <c r="B69" t="s">
        <v>700</v>
      </c>
      <c r="C69" s="240">
        <f>-$C$8*$C$52</f>
        <v>-307.6575558</v>
      </c>
      <c r="D69" s="146"/>
      <c r="E69" s="146"/>
      <c r="F69" s="146"/>
      <c r="G69" s="146"/>
      <c r="H69" s="146"/>
    </row>
    <row r="70">
      <c r="B70" t="s" s="186">
        <v>701</v>
      </c>
      <c r="C70" s="253">
        <f>SUM(C68:C69)</f>
        <v>5824.55100997</v>
      </c>
      <c r="D70" s="146"/>
      <c r="E70" s="146"/>
      <c r="F70" s="146"/>
      <c r="G70" s="146"/>
      <c r="H70" s="146"/>
    </row>
    <row r="71">
      <c r="B71" t="s">
        <v>702</v>
      </c>
      <c r="C71" s="240">
        <f>C42</f>
        <v>5904.969802</v>
      </c>
      <c r="D71" s="146"/>
      <c r="E71" s="146"/>
      <c r="F71" s="146"/>
      <c r="G71" s="146"/>
      <c r="H71" s="146"/>
    </row>
    <row r="72">
      <c r="B72" t="s">
        <v>703</v>
      </c>
      <c r="C72" s="240">
        <f>C71-C70</f>
        <v>80.41879202999917</v>
      </c>
      <c r="D72" s="146"/>
      <c r="E72" s="146"/>
      <c r="F72" s="146"/>
      <c r="G72" s="146"/>
      <c r="H72" s="146"/>
    </row>
    <row r="73">
      <c r="B73" t="s">
        <v>704</v>
      </c>
      <c r="C73" s="148">
        <f>C10/D80</f>
        <v>7.988165680473373</v>
      </c>
      <c r="D73" s="146"/>
      <c r="E73" s="146"/>
      <c r="F73" s="146"/>
      <c r="G73" s="146"/>
      <c r="H73" s="146"/>
      <c r="J73" t="s" s="142">
        <v>766</v>
      </c>
    </row>
    <row r="74">
      <c r="B74" t="s">
        <v>705</v>
      </c>
      <c r="C74" s="240">
        <f>(C10+C12+C14+C39+C40)-(C38+C36+C37+C41)</f>
        <v>1506.0573690000003</v>
      </c>
      <c r="D74" s="146"/>
      <c r="E74" s="146"/>
      <c r="F74" s="146"/>
      <c r="G74" s="146"/>
      <c r="H74" s="146"/>
    </row>
    <row r="75">
      <c r="C75" s="146"/>
      <c r="D75" s="146"/>
      <c r="E75" s="146"/>
      <c r="F75" s="146"/>
      <c r="G75" s="146"/>
      <c r="H75" s="146"/>
    </row>
    <row r="76">
      <c r="B76" t="s" s="125">
        <v>505</v>
      </c>
      <c r="C76" s="134"/>
      <c r="D76" s="134"/>
      <c r="E76" s="134"/>
      <c r="F76" s="134"/>
      <c r="G76" s="134"/>
      <c r="H76" s="134"/>
      <c r="I76" s="125"/>
      <c r="J76" s="125"/>
    </row>
    <row r="77">
      <c r="B77" t="s">
        <v>506</v>
      </c>
      <c r="C77" s="254">
        <f>DATE(2025,12,31)</f>
        <v>46022</v>
      </c>
      <c r="D77" s="239">
        <f>EDATE(C77,12)</f>
        <v>46387</v>
      </c>
      <c r="E77" s="239">
        <f>EDATE(D77,12)</f>
        <v>46752</v>
      </c>
      <c r="F77" s="239">
        <f>EDATE(E77,12)</f>
        <v>47118</v>
      </c>
      <c r="G77" s="239">
        <f>EDATE(F77,12)</f>
        <v>47483</v>
      </c>
      <c r="H77" s="239">
        <f>EDATE(G77,12)</f>
        <v>47848</v>
      </c>
    </row>
    <row r="78">
      <c r="B78" t="s">
        <v>722</v>
      </c>
      <c r="C78" s="146"/>
      <c r="D78" s="176">
        <f>YEAR(D77)-YEAR($C$6)</f>
        <v>1</v>
      </c>
      <c r="E78" s="176">
        <f>YEAR(E77)-YEAR($C$6)</f>
        <v>2</v>
      </c>
      <c r="F78" s="176">
        <f>YEAR(F77)-YEAR($C$6)</f>
        <v>3</v>
      </c>
      <c r="G78" s="176">
        <f>YEAR(G77)-YEAR($C$6)</f>
        <v>4</v>
      </c>
      <c r="H78" s="176">
        <f>YEAR(H77)-YEAR($C$6)</f>
        <v>5</v>
      </c>
    </row>
    <row r="79">
      <c r="B79" t="s">
        <v>8</v>
      </c>
      <c r="C79" s="266">
        <v>730</v>
      </c>
      <c r="D79" s="266">
        <v>940</v>
      </c>
      <c r="E79" s="266">
        <v>1100</v>
      </c>
      <c r="F79" s="266">
        <v>1298</v>
      </c>
      <c r="G79" s="266">
        <v>1531</v>
      </c>
      <c r="H79" s="266">
        <v>1807</v>
      </c>
    </row>
    <row r="80">
      <c r="B80" t="s">
        <v>507</v>
      </c>
      <c r="C80" s="266">
        <v>248</v>
      </c>
      <c r="D80" s="266">
        <v>338</v>
      </c>
      <c r="E80" s="266">
        <v>418</v>
      </c>
      <c r="F80" s="266">
        <v>518</v>
      </c>
      <c r="G80" s="266">
        <v>634</v>
      </c>
      <c r="H80" s="266">
        <v>763</v>
      </c>
    </row>
    <row r="81">
      <c r="B81" t="s">
        <v>508</v>
      </c>
      <c r="C81" s="255">
        <f>$C$43</f>
        <v>10</v>
      </c>
      <c r="D81" s="255">
        <f>$C$43</f>
        <v>10</v>
      </c>
      <c r="E81" s="255">
        <f>$C$43</f>
        <v>10</v>
      </c>
      <c r="F81" s="255">
        <f>$C$43</f>
        <v>10</v>
      </c>
      <c r="G81" s="255">
        <f>$C$43</f>
        <v>10</v>
      </c>
      <c r="H81" s="255">
        <f>$C$43</f>
        <v>10</v>
      </c>
    </row>
    <row r="82">
      <c r="B82" t="s" s="186">
        <v>509</v>
      </c>
      <c r="C82" s="256">
        <f>SUM(C80:C81)</f>
        <v>258</v>
      </c>
      <c r="D82" s="256">
        <f>SUM(D80:D81)</f>
        <v>348</v>
      </c>
      <c r="E82" s="256">
        <f>SUM(E80:E81)</f>
        <v>428</v>
      </c>
      <c r="F82" s="256">
        <f>SUM(F80:F81)</f>
        <v>528</v>
      </c>
      <c r="G82" s="256">
        <f>SUM(G80:G81)</f>
        <v>644</v>
      </c>
      <c r="H82" s="256">
        <f>SUM(H80:H81)</f>
        <v>773</v>
      </c>
    </row>
    <row r="83">
      <c r="B83" t="s">
        <v>510</v>
      </c>
      <c r="C83" s="255"/>
      <c r="D83" s="255">
        <f>-$C$44</f>
        <v>-32</v>
      </c>
      <c r="E83" s="255">
        <f>-$C$44</f>
        <v>-32</v>
      </c>
      <c r="F83" s="255">
        <f>-$C$44</f>
        <v>-32</v>
      </c>
      <c r="G83" s="255">
        <f>-$C$44</f>
        <v>-32</v>
      </c>
      <c r="H83" s="255">
        <f>-$C$44</f>
        <v>-32</v>
      </c>
    </row>
    <row r="84">
      <c r="B84" t="s">
        <v>511</v>
      </c>
      <c r="C84" s="255"/>
      <c r="D84" s="266">
        <v>-13</v>
      </c>
      <c r="E84" s="266">
        <v>-11</v>
      </c>
      <c r="F84" s="266">
        <v>-14</v>
      </c>
      <c r="G84" s="266">
        <v>-17</v>
      </c>
      <c r="H84" s="266">
        <v>-21</v>
      </c>
    </row>
    <row r="85">
      <c r="B85" t="s" s="186">
        <v>512</v>
      </c>
      <c r="C85" s="256"/>
      <c r="D85" s="256">
        <f>SUM(D82:D84)</f>
        <v>303</v>
      </c>
      <c r="E85" s="256">
        <f>SUM(E82:E84)</f>
        <v>385</v>
      </c>
      <c r="F85" s="256">
        <f>SUM(F82:F84)</f>
        <v>482</v>
      </c>
      <c r="G85" s="256">
        <f>SUM(G82:G84)</f>
        <v>595</v>
      </c>
      <c r="H85" s="256">
        <f>SUM(H82:H84)</f>
        <v>720</v>
      </c>
    </row>
    <row r="86">
      <c r="B86" t="s">
        <v>723</v>
      </c>
      <c r="C86" s="255"/>
      <c r="D86" s="255">
        <f>-D105*(D116-D115)</f>
        <v>-160.56</v>
      </c>
      <c r="E86" s="255">
        <f>-E105*(E116-E115)</f>
        <v>-154.2431213664764</v>
      </c>
      <c r="F86" s="255">
        <f>-F105*(F116-F115)</f>
        <v>-199.35418057067304</v>
      </c>
      <c r="G86" s="255">
        <f>-G105*(G116-G115)</f>
        <v>-179.15493376446693</v>
      </c>
      <c r="H86" s="255">
        <f>-H105*(H116-H115)</f>
        <v>-148.72123481206103</v>
      </c>
    </row>
    <row r="87">
      <c r="B87" t="s">
        <v>724</v>
      </c>
      <c r="C87" s="255"/>
      <c r="D87" s="255">
        <f>-D105*D115</f>
        <v>-67.5</v>
      </c>
      <c r="E87" s="255">
        <f>-E105*E115</f>
        <v>-62.92483479737442</v>
      </c>
      <c r="F87" s="255">
        <f>-F105*F115</f>
        <v>0</v>
      </c>
      <c r="G87" s="255">
        <f>-G105*G115</f>
        <v>0</v>
      </c>
      <c r="H87" s="255">
        <f>-H105*H115</f>
        <v>0</v>
      </c>
    </row>
    <row r="88">
      <c r="B88" t="s">
        <v>725</v>
      </c>
      <c r="C88" s="255"/>
      <c r="D88" s="255">
        <f>-($C$13-$C$14)*D117-$C$14*(MAX($C$23,$C$20)+D114)</f>
        <v>-1.625</v>
      </c>
      <c r="E88" s="255">
        <f>-($C$13-$C$14)*E117-$C$14*(MAX($C$23,$C$20)+E114)</f>
        <v>-1.21875</v>
      </c>
      <c r="F88" s="255">
        <f>-($C$13-$C$14)*F117-$C$14*(MAX($C$23,$C$20)+F114)</f>
        <v>-0.8124999999999999</v>
      </c>
      <c r="G88" s="255">
        <f>-($C$13-$C$14)*G117-$C$14*(MAX($C$23,$C$20)+G114)</f>
        <v>-0.8124999999999999</v>
      </c>
      <c r="H88" s="255">
        <f>-($C$13-$C$14)*H117-$C$14*(MAX($C$23,$C$20)+H114)</f>
        <v>-0.8124999999999999</v>
      </c>
    </row>
    <row r="89">
      <c r="B89" t="s">
        <v>726</v>
      </c>
      <c r="C89" s="255"/>
      <c r="D89" s="255">
        <f>-($C$11-$C$12)*IF(D78=1,$C$31*($F$33-$C$33)/$F$33,$C$32*MAX(0,MIN($F$34,$C$34-$F$34*(D78-1)))/$F$34)</f>
        <v>-1.8835616438356164</v>
      </c>
      <c r="E89" s="255">
        <f>-($C$11-$C$12)*IF(E78=1,$C$31*($F$33-$C$33)/$F$33,$C$32*MAX(0,MIN($F$34,$C$34-$F$34*(E78-1)))/$F$34)</f>
        <v>-5</v>
      </c>
      <c r="F89" s="255">
        <f>-($C$11-$C$12)*IF(F78=1,$C$31*($F$33-$C$33)/$F$33,$C$32*MAX(0,MIN($F$34,$C$34-$F$34*(F78-1)))/$F$34)</f>
        <v>-2.5</v>
      </c>
      <c r="G89" s="255">
        <f>-($C$11-$C$12)*IF(G78=1,$C$31*($F$33-$C$33)/$F$33,$C$32*MAX(0,MIN($F$34,$C$34-$F$34*(G78-1)))/$F$34)</f>
        <v>0</v>
      </c>
      <c r="H89" s="255">
        <f>-($C$11-$C$12)*IF(H78=1,$C$31*($F$33-$C$33)/$F$33,$C$32*MAX(0,MIN($F$34,$C$34-$F$34*(H78-1)))/$F$34)</f>
        <v>0</v>
      </c>
    </row>
    <row r="90">
      <c r="B90" t="s">
        <v>515</v>
      </c>
      <c r="C90" s="255"/>
      <c r="D90" s="255">
        <f>$C$23*D110</f>
        <v>3.6966666666666668</v>
      </c>
      <c r="E90" s="255">
        <f>$C$23*E110</f>
        <v>3.6966666666666668</v>
      </c>
      <c r="F90" s="255">
        <f>$C$23*F110</f>
        <v>3.6966666666666668</v>
      </c>
      <c r="G90" s="255">
        <f>$C$23*G110</f>
        <v>3.6966666666666668</v>
      </c>
      <c r="H90" s="255">
        <f>$C$23*H110</f>
        <v>3.6966666666666668</v>
      </c>
    </row>
    <row r="91">
      <c r="B91" t="s" s="186">
        <v>517</v>
      </c>
      <c r="C91" s="256"/>
      <c r="D91" s="256">
        <f>SUM(D85:D90)</f>
        <v>75.12810502283105</v>
      </c>
      <c r="E91" s="256">
        <f>SUM(E85:E90)</f>
        <v>165.30996050281584</v>
      </c>
      <c r="F91" s="256">
        <f>SUM(F85:F90)</f>
        <v>283.0299860959936</v>
      </c>
      <c r="G91" s="256">
        <f>SUM(G85:G90)</f>
        <v>418.7292329021997</v>
      </c>
      <c r="H91" s="256">
        <f>SUM(H85:H90)</f>
        <v>574.1629318546056</v>
      </c>
    </row>
    <row r="92">
      <c r="B92" t="s">
        <v>727</v>
      </c>
      <c r="C92" s="255"/>
      <c r="D92" s="255">
        <f>MIN(-SUM(D86:D89)+D118,$C$46*(D82+D83))</f>
        <v>94.8</v>
      </c>
      <c r="E92" s="255">
        <f>MIN(-SUM(E86:E89)+E118,$C$46*(E82+E83))</f>
        <v>118.8</v>
      </c>
      <c r="F92" s="255">
        <f>MIN(-SUM(F86:F89)+F118,$C$46*(F82+F83))</f>
        <v>148.79999999999998</v>
      </c>
      <c r="G92" s="255">
        <f>MIN(-SUM(G86:G89)+G118,$C$46*(G82+G83))</f>
        <v>183.6</v>
      </c>
      <c r="H92" s="255">
        <f>MIN(-SUM(H86:H89)+H118,$C$46*(H82+H83))</f>
        <v>222.29999999999998</v>
      </c>
      <c r="J92" t="s" s="142">
        <v>765</v>
      </c>
    </row>
    <row r="93">
      <c r="B93" t="s">
        <v>728</v>
      </c>
      <c r="C93" s="255"/>
      <c r="D93" s="255">
        <f>D85+D90-D92</f>
        <v>211.89666666666665</v>
      </c>
      <c r="E93" s="255">
        <f>E85+E90-E92</f>
        <v>269.89666666666665</v>
      </c>
      <c r="F93" s="255">
        <f>F85+F90-F92</f>
        <v>336.89666666666665</v>
      </c>
      <c r="G93" s="255">
        <f>G85+G90-G92</f>
        <v>415.0966666666667</v>
      </c>
      <c r="H93" s="255">
        <f>H85+H90-H92</f>
        <v>501.39666666666676</v>
      </c>
    </row>
    <row r="94">
      <c r="B94" t="s">
        <v>518</v>
      </c>
      <c r="C94" s="255"/>
      <c r="D94" s="255">
        <f>-$C$27*MAX(0,D93)</f>
        <v>-52.97416666666666</v>
      </c>
      <c r="E94" s="255">
        <f>-$C$27*MAX(0,E93)</f>
        <v>-67.47416666666666</v>
      </c>
      <c r="F94" s="255">
        <f>-$C$27*MAX(0,F93)</f>
        <v>-84.22416666666666</v>
      </c>
      <c r="G94" s="255">
        <f>-$C$27*MAX(0,G93)</f>
        <v>-103.77416666666667</v>
      </c>
      <c r="H94" s="255">
        <f>-$C$27*MAX(0,H93)</f>
        <v>-125.34916666666669</v>
      </c>
    </row>
    <row r="95">
      <c r="B95" t="s">
        <v>519</v>
      </c>
      <c r="C95" s="255"/>
      <c r="D95" s="255">
        <f>MIN(D120,-$C$48*D94)</f>
        <v>42.379333333333335</v>
      </c>
      <c r="E95" s="255">
        <f>MIN(E120,-$C$48*E94)</f>
        <v>53.97933333333333</v>
      </c>
      <c r="F95" s="255">
        <f>MIN(F120,-$C$48*F94)</f>
        <v>67.37933333333334</v>
      </c>
      <c r="G95" s="255">
        <f>MIN(G120,-$C$48*G94)</f>
        <v>83.01933333333335</v>
      </c>
      <c r="H95" s="255">
        <f>MIN(H120,-$C$48*H94)</f>
        <v>100.27933333333335</v>
      </c>
    </row>
    <row r="96">
      <c r="B96" t="s" s="186">
        <v>729</v>
      </c>
      <c r="C96" s="256"/>
      <c r="D96" s="256">
        <f>D91+D94+D95</f>
        <v>64.53327168949772</v>
      </c>
      <c r="E96" s="256">
        <f>E91+E94+E95</f>
        <v>151.8151271694825</v>
      </c>
      <c r="F96" s="256">
        <f>F91+F94+F95</f>
        <v>266.18515276266027</v>
      </c>
      <c r="G96" s="256">
        <f>G91+G94+G95</f>
        <v>397.97439956886643</v>
      </c>
      <c r="H96" s="256">
        <f>H91+H94+H95</f>
        <v>549.0930985212723</v>
      </c>
    </row>
    <row r="97">
      <c r="B97" t="s">
        <v>730</v>
      </c>
      <c r="C97" s="255"/>
      <c r="D97" s="255">
        <f>-D87</f>
        <v>67.5</v>
      </c>
      <c r="E97" s="255">
        <f>-E87</f>
        <v>62.92483479737442</v>
      </c>
      <c r="F97" s="255">
        <f>-F87</f>
        <v>0</v>
      </c>
      <c r="G97" s="255">
        <f>-G87</f>
        <v>0</v>
      </c>
      <c r="H97" s="255">
        <f>-H87</f>
        <v>0</v>
      </c>
    </row>
    <row r="98">
      <c r="B98" t="s">
        <v>521</v>
      </c>
      <c r="C98" s="255"/>
      <c r="D98" s="255">
        <f>-D84</f>
        <v>13</v>
      </c>
      <c r="E98" s="255">
        <f>-E84</f>
        <v>11</v>
      </c>
      <c r="F98" s="255">
        <f>-F84</f>
        <v>14</v>
      </c>
      <c r="G98" s="255">
        <f>-G84</f>
        <v>17</v>
      </c>
      <c r="H98" s="255">
        <f>-H84</f>
        <v>21</v>
      </c>
    </row>
    <row r="99">
      <c r="B99" t="s">
        <v>522</v>
      </c>
      <c r="C99" s="255"/>
      <c r="D99" s="266">
        <v>13</v>
      </c>
      <c r="E99" s="266">
        <v>16</v>
      </c>
      <c r="F99" s="266">
        <v>19</v>
      </c>
      <c r="G99" s="266">
        <v>22</v>
      </c>
      <c r="H99" s="266">
        <v>27</v>
      </c>
    </row>
    <row r="100">
      <c r="B100" t="s">
        <v>524</v>
      </c>
      <c r="C100" s="255"/>
      <c r="D100" s="266">
        <v>-21</v>
      </c>
      <c r="E100" s="266">
        <v>-16</v>
      </c>
      <c r="F100" s="266">
        <v>-19</v>
      </c>
      <c r="G100" s="266">
        <v>-23</v>
      </c>
      <c r="H100" s="266">
        <v>-27</v>
      </c>
    </row>
    <row r="101">
      <c r="B101" t="s">
        <v>525</v>
      </c>
      <c r="C101" s="255"/>
      <c r="D101" s="266">
        <v>-19</v>
      </c>
      <c r="E101" s="266">
        <v>-22</v>
      </c>
      <c r="F101" s="266">
        <v>-26</v>
      </c>
      <c r="G101" s="266">
        <v>-31</v>
      </c>
      <c r="H101" s="266">
        <v>-36</v>
      </c>
    </row>
    <row r="102">
      <c r="B102" t="s" s="186">
        <v>526</v>
      </c>
      <c r="C102" s="256"/>
      <c r="D102" s="256">
        <f>SUM(D96:D101)</f>
        <v>118.03327168949772</v>
      </c>
      <c r="E102" s="256">
        <f>SUM(E96:E101)</f>
        <v>203.73996196685692</v>
      </c>
      <c r="F102" s="256">
        <f>SUM(F96:F101)</f>
        <v>254.18515276266027</v>
      </c>
      <c r="G102" s="256">
        <f>SUM(G96:G101)</f>
        <v>382.97439956886643</v>
      </c>
      <c r="H102" s="256">
        <f>SUM(H96:H101)</f>
        <v>534.0930985212723</v>
      </c>
    </row>
    <row r="103">
      <c r="C103" s="255"/>
      <c r="D103" s="255"/>
      <c r="E103" s="255"/>
      <c r="F103" s="255"/>
      <c r="G103" s="255"/>
      <c r="H103" s="255"/>
    </row>
    <row r="104">
      <c r="B104" t="s" s="125">
        <v>731</v>
      </c>
      <c r="C104" s="257"/>
      <c r="D104" s="257"/>
      <c r="E104" s="257"/>
      <c r="F104" s="257"/>
      <c r="G104" s="257"/>
      <c r="H104" s="257"/>
      <c r="I104" s="125"/>
      <c r="J104" s="125"/>
    </row>
    <row r="105">
      <c r="B105" t="s">
        <v>528</v>
      </c>
      <c r="C105" s="255"/>
      <c r="D105" s="255">
        <f>C109</f>
        <v>2700</v>
      </c>
      <c r="E105" s="255">
        <f>D109</f>
        <v>2649.4667283105023</v>
      </c>
      <c r="F105" s="255">
        <f>E109</f>
        <v>2508.65160114102</v>
      </c>
      <c r="G105" s="255">
        <f>F109</f>
        <v>2254.4664483783595</v>
      </c>
      <c r="H105" s="255">
        <f>G109</f>
        <v>1871.492048809493</v>
      </c>
    </row>
    <row r="106">
      <c r="B106" t="s">
        <v>732</v>
      </c>
      <c r="C106" s="255"/>
      <c r="D106" s="255">
        <f>-D87</f>
        <v>67.5</v>
      </c>
      <c r="E106" s="255">
        <f>-E87</f>
        <v>62.92483479737442</v>
      </c>
      <c r="F106" s="255">
        <f>-F87</f>
        <v>0</v>
      </c>
      <c r="G106" s="255">
        <f>-G87</f>
        <v>0</v>
      </c>
      <c r="H106" s="255">
        <f>-H87</f>
        <v>0</v>
      </c>
    </row>
    <row r="107">
      <c r="B107" t="s">
        <v>529</v>
      </c>
      <c r="C107" s="255"/>
      <c r="D107" s="255">
        <f>-MIN(D105+D106,$C$16*($C$10+$C$12))</f>
        <v>0</v>
      </c>
      <c r="E107" s="255">
        <f>-MIN(E105+E106,$C$16*($C$10+$C$12))</f>
        <v>0</v>
      </c>
      <c r="F107" s="255">
        <f>-MIN(F105+F106,$C$16*($C$10+$C$12))</f>
        <v>0</v>
      </c>
      <c r="G107" s="255">
        <f>-MIN(G105+G106,$C$16*($C$10+$C$12))</f>
        <v>0</v>
      </c>
      <c r="H107" s="255">
        <f>-MIN(H105+H106,$C$16*($C$10+$C$12))</f>
        <v>0</v>
      </c>
    </row>
    <row r="108">
      <c r="B108" t="s">
        <v>733</v>
      </c>
      <c r="C108" s="255"/>
      <c r="D108" s="255">
        <f>-MIN(D105+D106+D107,MAX(0,D110+D102+D107-$C$41))</f>
        <v>-118.03327168949772</v>
      </c>
      <c r="E108" s="255">
        <f>-MIN(E105+E106+E107,MAX(0,E110+E102+E107-$C$41))</f>
        <v>-203.73996196685692</v>
      </c>
      <c r="F108" s="255">
        <f>-MIN(F105+F106+F107,MAX(0,F110+F102+F107-$C$41))</f>
        <v>-254.18515276266027</v>
      </c>
      <c r="G108" s="255">
        <f>-MIN(G105+G106+G107,MAX(0,G110+G102+G107-$C$41))</f>
        <v>-382.97439956886643</v>
      </c>
      <c r="H108" s="255">
        <f>-MIN(H105+H106+H107,MAX(0,H110+H102+H107-$C$41))</f>
        <v>-534.0930985212723</v>
      </c>
      <c r="J108" t="s" s="142">
        <v>764</v>
      </c>
    </row>
    <row r="109">
      <c r="B109" t="s" s="186">
        <v>531</v>
      </c>
      <c r="C109" s="256">
        <f>C10+C12</f>
        <v>2700</v>
      </c>
      <c r="D109" s="256">
        <f>SUM(D105:D108)</f>
        <v>2649.4667283105023</v>
      </c>
      <c r="E109" s="256">
        <f>SUM(E105:E108)</f>
        <v>2508.65160114102</v>
      </c>
      <c r="F109" s="256">
        <f>SUM(F105:F108)</f>
        <v>2254.4664483783595</v>
      </c>
      <c r="G109" s="256">
        <f>SUM(G105:G108)</f>
        <v>1871.492048809493</v>
      </c>
      <c r="H109" s="256">
        <f>SUM(H105:H108)</f>
        <v>1337.398950288221</v>
      </c>
    </row>
    <row r="110">
      <c r="B110" t="s">
        <v>532</v>
      </c>
      <c r="C110" s="255"/>
      <c r="D110" s="255">
        <f>C113</f>
        <v>100</v>
      </c>
      <c r="E110" s="255">
        <f>D113</f>
        <v>100</v>
      </c>
      <c r="F110" s="255">
        <f>E113</f>
        <v>100</v>
      </c>
      <c r="G110" s="255">
        <f>F113</f>
        <v>100</v>
      </c>
      <c r="H110" s="255">
        <f>G113</f>
        <v>100</v>
      </c>
    </row>
    <row r="111">
      <c r="B111" t="s">
        <v>533</v>
      </c>
      <c r="C111" s="255"/>
      <c r="D111" s="255">
        <f>D102</f>
        <v>118.03327168949772</v>
      </c>
      <c r="E111" s="255">
        <f>E102</f>
        <v>203.73996196685692</v>
      </c>
      <c r="F111" s="255">
        <f>F102</f>
        <v>254.18515276266027</v>
      </c>
      <c r="G111" s="255">
        <f>G102</f>
        <v>382.97439956886643</v>
      </c>
      <c r="H111" s="255">
        <f>H102</f>
        <v>534.0930985212723</v>
      </c>
    </row>
    <row r="112">
      <c r="B112" t="s">
        <v>534</v>
      </c>
      <c r="C112" s="255"/>
      <c r="D112" s="255">
        <f>D107+D108</f>
        <v>-118.03327168949772</v>
      </c>
      <c r="E112" s="255">
        <f>E107+E108</f>
        <v>-203.73996196685692</v>
      </c>
      <c r="F112" s="255">
        <f>F107+F108</f>
        <v>-254.18515276266027</v>
      </c>
      <c r="G112" s="255">
        <f>G107+G108</f>
        <v>-382.97439956886643</v>
      </c>
      <c r="H112" s="255">
        <f>H107+H108</f>
        <v>-534.0930985212723</v>
      </c>
    </row>
    <row r="113">
      <c r="B113" t="s" s="186">
        <v>535</v>
      </c>
      <c r="C113" s="256">
        <f>C41</f>
        <v>100</v>
      </c>
      <c r="D113" s="256">
        <f>SUM(D110:D112)</f>
        <v>100</v>
      </c>
      <c r="E113" s="256">
        <f>SUM(E110:E112)</f>
        <v>100</v>
      </c>
      <c r="F113" s="256">
        <f>SUM(F110:F112)</f>
        <v>100</v>
      </c>
      <c r="G113" s="256">
        <f>SUM(G110:G112)</f>
        <v>100</v>
      </c>
      <c r="H113" s="256">
        <f>SUM(H110:H112)</f>
        <v>100</v>
      </c>
    </row>
    <row r="114">
      <c r="B114" t="s">
        <v>734</v>
      </c>
      <c r="C114" s="255"/>
      <c r="D114" s="157">
        <f>IF(D78=1,$C$17,$C$17-IF(C126&lt;=$C$19,$C$18,0))</f>
        <v>0.045</v>
      </c>
      <c r="E114" s="157">
        <f>IF(E78=1,$C$17,$C$17-IF(D126&lt;=$C$19,$C$18,0))</f>
        <v>0.042499999999999996</v>
      </c>
      <c r="F114" s="157">
        <f>IF(F78=1,$C$17,$C$17-IF(E126&lt;=$C$19,$C$18,0))</f>
        <v>0.042499999999999996</v>
      </c>
      <c r="G114" s="157">
        <f>IF(G78=1,$C$17,$C$17-IF(F126&lt;=$C$19,$C$18,0))</f>
        <v>0.042499999999999996</v>
      </c>
      <c r="H114" s="157">
        <f>IF(H78=1,$C$17,$C$17-IF(G126&lt;=$C$19,$C$18,0))</f>
        <v>0.042499999999999996</v>
      </c>
    </row>
    <row r="115">
      <c r="B115" t="s">
        <v>735</v>
      </c>
      <c r="C115" s="255"/>
      <c r="D115" s="157">
        <f>IF(AND($C$26=1,D78&lt;=2),$C$24*D114+$C$25,0)</f>
        <v>0.024999999999999998</v>
      </c>
      <c r="E115" s="157">
        <f>IF(AND($C$26=1,E78&lt;=2),$C$24*E114+$C$25,0)</f>
        <v>0.023749999999999997</v>
      </c>
      <c r="F115" s="157">
        <f>IF(AND($C$26=1,F78&lt;=2),$C$24*F114+$C$25,0)</f>
        <v>0</v>
      </c>
      <c r="G115" s="157">
        <f>IF(AND($C$26=1,G78&lt;=2),$C$24*G114+$C$25,0)</f>
        <v>0</v>
      </c>
      <c r="H115" s="157">
        <f>IF(AND($C$26=1,H78&lt;=2),$C$24*H114+$C$25,0)</f>
        <v>0</v>
      </c>
    </row>
    <row r="116">
      <c r="B116" t="s">
        <v>537</v>
      </c>
      <c r="C116" s="255"/>
      <c r="D116" s="157">
        <f>MAX($C$23,$C$20)+D114+IF(AND($C$26=1,D78&lt;=2),$C$25,0)</f>
        <v>0.08446666666666666</v>
      </c>
      <c r="E116" s="157">
        <f>MAX($C$23,$C$20)+E114+IF(AND($C$26=1,E78&lt;=2),$C$25,0)</f>
        <v>0.08196666666666666</v>
      </c>
      <c r="F116" s="157">
        <f>MAX($C$23,$C$20)+F114+IF(AND($C$26=1,F78&lt;=2),$C$25,0)</f>
        <v>0.07946666666666666</v>
      </c>
      <c r="G116" s="157">
        <f>MAX($C$23,$C$20)+G114+IF(AND($C$26=1,G78&lt;=2),$C$25,0)</f>
        <v>0.07946666666666666</v>
      </c>
      <c r="H116" s="157">
        <f>MAX($C$23,$C$20)+H114+IF(AND($C$26=1,H78&lt;=2),$C$25,0)</f>
        <v>0.07946666666666666</v>
      </c>
    </row>
    <row r="117">
      <c r="B117" t="s">
        <v>736</v>
      </c>
      <c r="C117" s="255"/>
      <c r="D117" s="157">
        <f>$C$28-$C$29*(C126&lt;=$C$30)-$C$29*(C126&lt;=$D$30)</f>
        <v>0.005</v>
      </c>
      <c r="E117" s="157">
        <f>$C$28-$C$29*(D126&lt;=$C$30)-$C$29*(D126&lt;=$D$30)</f>
        <v>0.00375</v>
      </c>
      <c r="F117" s="157">
        <f>$C$28-$C$29*(E126&lt;=$C$30)-$C$29*(E126&lt;=$D$30)</f>
        <v>0.0024999999999999996</v>
      </c>
      <c r="G117" s="157">
        <f>$C$28-$C$29*(F126&lt;=$C$30)-$C$29*(F126&lt;=$D$30)</f>
        <v>0.0024999999999999996</v>
      </c>
      <c r="H117" s="157">
        <f>$C$28-$C$29*(G126&lt;=$C$30)-$C$29*(G126&lt;=$D$30)</f>
        <v>0.0024999999999999996</v>
      </c>
    </row>
    <row r="118">
      <c r="B118" t="s">
        <v>737</v>
      </c>
      <c r="C118" s="255"/>
      <c r="D118" s="255">
        <f>C119</f>
        <v>0</v>
      </c>
      <c r="E118" s="255">
        <f>D119</f>
        <v>136.7685616438356</v>
      </c>
      <c r="F118" s="255">
        <f>E119</f>
        <v>241.3552678076864</v>
      </c>
      <c r="G118" s="255">
        <f>F119</f>
        <v>295.22194837835946</v>
      </c>
      <c r="H118" s="255">
        <f>G119</f>
        <v>291.58938214282637</v>
      </c>
    </row>
    <row r="119">
      <c r="B119" t="s">
        <v>738</v>
      </c>
      <c r="C119" s="255">
        <f>0</f>
        <v>0</v>
      </c>
      <c r="D119" s="255">
        <f>D118-SUM(D86:D89)-D92</f>
        <v>136.7685616438356</v>
      </c>
      <c r="E119" s="255">
        <f>E118-SUM(E86:E89)-E92</f>
        <v>241.3552678076864</v>
      </c>
      <c r="F119" s="255">
        <f>F118-SUM(F86:F89)-F92</f>
        <v>295.22194837835946</v>
      </c>
      <c r="G119" s="255">
        <f>G118-SUM(G86:G89)-G92</f>
        <v>291.58938214282637</v>
      </c>
      <c r="H119" s="255">
        <f>H118-SUM(H86:H89)-H92</f>
        <v>218.8231169548874</v>
      </c>
    </row>
    <row r="120">
      <c r="B120" t="s">
        <v>538</v>
      </c>
      <c r="C120" s="255"/>
      <c r="D120" s="255">
        <f>C122</f>
        <v>672</v>
      </c>
      <c r="E120" s="255">
        <f>D122</f>
        <v>629.6206666666667</v>
      </c>
      <c r="F120" s="255">
        <f>E122</f>
        <v>575.6413333333334</v>
      </c>
      <c r="G120" s="255">
        <f>F122</f>
        <v>508.26200000000006</v>
      </c>
      <c r="H120" s="255">
        <f>G122</f>
        <v>425.2426666666667</v>
      </c>
    </row>
    <row r="121">
      <c r="B121" t="s">
        <v>539</v>
      </c>
      <c r="C121" s="255"/>
      <c r="D121" s="255">
        <f>-D95</f>
        <v>-42.379333333333335</v>
      </c>
      <c r="E121" s="255">
        <f>-E95</f>
        <v>-53.97933333333333</v>
      </c>
      <c r="F121" s="255">
        <f>-F95</f>
        <v>-67.37933333333334</v>
      </c>
      <c r="G121" s="255">
        <f>-G95</f>
        <v>-83.01933333333335</v>
      </c>
      <c r="H121" s="255">
        <f>-H95</f>
        <v>-100.27933333333335</v>
      </c>
    </row>
    <row r="122">
      <c r="B122" t="s">
        <v>540</v>
      </c>
      <c r="C122" s="255">
        <f>C47</f>
        <v>672</v>
      </c>
      <c r="D122" s="255">
        <f>SUM(D120:D121)</f>
        <v>629.6206666666667</v>
      </c>
      <c r="E122" s="255">
        <f>SUM(E120:E121)</f>
        <v>575.6413333333334</v>
      </c>
      <c r="F122" s="255">
        <f>SUM(F120:F121)</f>
        <v>508.26200000000006</v>
      </c>
      <c r="G122" s="255">
        <f>SUM(G120:G121)</f>
        <v>425.2426666666667</v>
      </c>
      <c r="H122" s="255">
        <f>SUM(H120:H121)</f>
        <v>324.96333333333337</v>
      </c>
    </row>
    <row r="123">
      <c r="C123" s="146"/>
      <c r="D123" s="146"/>
      <c r="E123" s="146"/>
      <c r="F123" s="146"/>
      <c r="G123" s="146"/>
      <c r="H123" s="146"/>
    </row>
    <row r="124">
      <c r="B124" t="s" s="125">
        <v>541</v>
      </c>
      <c r="C124" s="134"/>
      <c r="D124" s="134"/>
      <c r="E124" s="134"/>
      <c r="F124" s="134"/>
      <c r="G124" s="134"/>
      <c r="H124" s="134"/>
      <c r="I124" s="125"/>
      <c r="J124" s="125"/>
    </row>
    <row r="125">
      <c r="B125" t="s">
        <v>542</v>
      </c>
      <c r="C125" s="258">
        <f>(C109+C14)/C82</f>
        <v>10.465116279069768</v>
      </c>
      <c r="D125" s="258">
        <f>(D109+$C$14)/D82</f>
        <v>7.613410138823283</v>
      </c>
      <c r="E125" s="258">
        <f>(E109+$C$14)/E82</f>
        <v>5.861335516684626</v>
      </c>
      <c r="F125" s="258">
        <f>(F109+$C$14)/F82</f>
        <v>4.269822818898408</v>
      </c>
      <c r="G125" s="258">
        <f>(G109+$C$14)/G82</f>
        <v>2.9060435540520078</v>
      </c>
      <c r="H125" s="258">
        <f>(H109+$C$14)/H82</f>
        <v>1.7301409447454346</v>
      </c>
    </row>
    <row r="126">
      <c r="B126" t="s">
        <v>739</v>
      </c>
      <c r="C126" s="258">
        <f>(C109+C14-C113)/C82</f>
        <v>10.077519379844961</v>
      </c>
      <c r="D126" s="258">
        <f>(D109+$C$14-D113)/D82</f>
        <v>7.326053816984202</v>
      </c>
      <c r="E126" s="258">
        <f>(E109+$C$14-E113)/E82</f>
        <v>5.6276906568715415</v>
      </c>
      <c r="F126" s="258">
        <f>(F109+$C$14-F113)/F82</f>
        <v>4.080428879504469</v>
      </c>
      <c r="G126" s="258">
        <f>(G109+$C$14-G113)/G82</f>
        <v>2.750764050946418</v>
      </c>
      <c r="H126" s="258">
        <f>(H109+$C$14-H113)/H82</f>
        <v>1.6007748386652276</v>
      </c>
    </row>
    <row r="127">
      <c r="B127" t="s">
        <v>545</v>
      </c>
      <c r="C127" s="258"/>
      <c r="D127" s="258">
        <f>IF(D82/-(D86+D88+D89)&gt;50,"n.m.",D82/-(D86+D88+D89))</f>
        <v>2.121064489828634</v>
      </c>
      <c r="E127" s="258">
        <f>IF(E82/-(E86+E88+E89)&gt;50,"n.m.",E82/-(E86+E88+E89))</f>
        <v>2.667300314742668</v>
      </c>
      <c r="F127" s="258">
        <f>IF(F82/-(F86+F88+F89)&gt;50,"n.m.",F82/-(F86+F88+F89))</f>
        <v>2.6052629791599027</v>
      </c>
      <c r="G127" s="258">
        <f>IF(G82/-(G86+G88+G89)&gt;50,"n.m.",G82/-(G86+G88+G89))</f>
        <v>3.5784251990992852</v>
      </c>
      <c r="H127" s="258">
        <f>IF(H82/-(H86+H88+H89)&gt;50,"n.m.",H82/-(H86+H88+H89))</f>
        <v>5.169402081553919</v>
      </c>
    </row>
    <row r="128">
      <c r="C128" s="146"/>
      <c r="D128" s="146"/>
      <c r="E128" s="146"/>
      <c r="F128" s="146"/>
      <c r="G128" s="146"/>
      <c r="H128" s="146"/>
    </row>
    <row r="129">
      <c r="B129" t="s" s="125">
        <v>740</v>
      </c>
      <c r="C129" s="134"/>
      <c r="D129" s="134"/>
      <c r="E129" s="134"/>
      <c r="F129" s="134"/>
      <c r="G129" s="134"/>
      <c r="H129" s="134"/>
      <c r="I129" s="125"/>
      <c r="J129" s="125"/>
    </row>
    <row r="130">
      <c r="B130" t="s">
        <v>563</v>
      </c>
      <c r="C130" s="146"/>
      <c r="D130" s="239">
        <f>D77</f>
        <v>46387</v>
      </c>
      <c r="E130" s="239">
        <f>E77</f>
        <v>46752</v>
      </c>
      <c r="F130" s="239">
        <f>F77</f>
        <v>47118</v>
      </c>
      <c r="G130" s="239">
        <f>G77</f>
        <v>47483</v>
      </c>
      <c r="H130" s="239">
        <f>H77</f>
        <v>47848</v>
      </c>
    </row>
    <row r="131">
      <c r="B131" t="s">
        <v>741</v>
      </c>
      <c r="C131" s="146"/>
      <c r="D131" s="240">
        <f>D82</f>
        <v>348</v>
      </c>
      <c r="E131" s="240">
        <f>E82</f>
        <v>428</v>
      </c>
      <c r="F131" s="240">
        <f>F82</f>
        <v>528</v>
      </c>
      <c r="G131" s="240">
        <f>G82</f>
        <v>644</v>
      </c>
      <c r="H131" s="240">
        <f>H82</f>
        <v>773</v>
      </c>
    </row>
    <row r="132">
      <c r="B132" t="s">
        <v>742</v>
      </c>
      <c r="C132" s="146"/>
      <c r="D132" s="240">
        <f>$C$49*D131</f>
        <v>7656</v>
      </c>
      <c r="E132" s="240">
        <f>$C$49*E131</f>
        <v>9416</v>
      </c>
      <c r="F132" s="240">
        <f>$C$49*F131</f>
        <v>11616</v>
      </c>
      <c r="G132" s="240">
        <f>$C$49*G131</f>
        <v>14168</v>
      </c>
      <c r="H132" s="240">
        <f>$C$49*H131</f>
        <v>17006</v>
      </c>
    </row>
    <row r="133">
      <c r="B133" t="s">
        <v>566</v>
      </c>
      <c r="C133" s="146"/>
      <c r="D133" s="240">
        <f>D109+$C$14-D113</f>
        <v>2549.4667283105023</v>
      </c>
      <c r="E133" s="240">
        <f>E109+$C$14-E113</f>
        <v>2408.65160114102</v>
      </c>
      <c r="F133" s="240">
        <f>F109+$C$14-F113</f>
        <v>2154.4664483783595</v>
      </c>
      <c r="G133" s="240">
        <f>G109+$C$14-G113</f>
        <v>1771.492048809493</v>
      </c>
      <c r="H133" s="240">
        <f>H109+$C$14-H113</f>
        <v>1237.398950288221</v>
      </c>
    </row>
    <row r="134">
      <c r="B134" t="s" s="186">
        <v>567</v>
      </c>
      <c r="C134" s="195"/>
      <c r="D134" s="253">
        <f>D132-D133</f>
        <v>5106.533271689497</v>
      </c>
      <c r="E134" s="253">
        <f>E132-E133</f>
        <v>7007.34839885898</v>
      </c>
      <c r="F134" s="253">
        <f>F132-F133</f>
        <v>9461.53355162164</v>
      </c>
      <c r="G134" s="253">
        <f>G132-G133</f>
        <v>12396.507951190506</v>
      </c>
      <c r="H134" s="253">
        <f>H132-H133</f>
        <v>15768.601049711779</v>
      </c>
    </row>
    <row r="135">
      <c r="B135" t="s">
        <v>568</v>
      </c>
      <c r="C135" s="146"/>
      <c r="D135" s="177">
        <f>YEARFRAC($C$6,D130,3)</f>
        <v>1</v>
      </c>
      <c r="E135" s="177">
        <f>YEARFRAC($C$6,E130,3)</f>
        <v>2</v>
      </c>
      <c r="F135" s="177">
        <f>YEARFRAC($C$6,F130,3)</f>
        <v>3.0027397260273974</v>
      </c>
      <c r="G135" s="177">
        <f>YEARFRAC($C$6,G130,3)</f>
        <v>4.002739726027397</v>
      </c>
      <c r="H135" s="177">
        <f>YEARFRAC($C$6,H130,3)</f>
        <v>5.002739726027397</v>
      </c>
    </row>
    <row r="136">
      <c r="B136" t="s">
        <v>743</v>
      </c>
      <c r="C136" s="147">
        <f>($C$8*($C$51+$C$53)-$C$53*$C$54+$C$55)-$C$74</f>
        <v>6132.208565770001</v>
      </c>
      <c r="D136" s="147"/>
      <c r="E136" s="147"/>
      <c r="F136" s="147"/>
      <c r="G136" s="147"/>
      <c r="H136" s="147"/>
    </row>
    <row r="137">
      <c r="B137" t="s">
        <v>582</v>
      </c>
      <c r="C137" s="147"/>
      <c r="D137" s="147">
        <f>D134-$C$45*MAX(0,D134-$C$136)</f>
        <v>5106.533271689497</v>
      </c>
      <c r="E137" s="147">
        <f>E134-$C$45*MAX(0,E134-$C$136)</f>
        <v>6941.712911377306</v>
      </c>
      <c r="F137" s="147">
        <f>F134-$C$45*MAX(0,F134-$C$136)</f>
        <v>9211.834177682767</v>
      </c>
      <c r="G137" s="147">
        <f>G134-$C$45*MAX(0,G134-$C$136)</f>
        <v>11926.685497283968</v>
      </c>
      <c r="H137" s="147">
        <f>H134-$C$45*MAX(0,H134-$C$136)</f>
        <v>15045.871613416146</v>
      </c>
    </row>
    <row r="138">
      <c r="B138" t="s">
        <v>583</v>
      </c>
      <c r="C138" s="146"/>
      <c r="D138" s="252">
        <f>D137/$C$136</f>
        <v>0.8327396592793949</v>
      </c>
      <c r="E138" s="252">
        <f>E137/$C$136</f>
        <v>1.1320086127086348</v>
      </c>
      <c r="F138" s="252">
        <f>F137/$C$136</f>
        <v>1.5022049688758536</v>
      </c>
      <c r="G138" s="252">
        <f>G137/$C$136</f>
        <v>1.944924959639949</v>
      </c>
      <c r="H138" s="252">
        <f>H137/$C$136</f>
        <v>2.453581193797326</v>
      </c>
    </row>
    <row r="139">
      <c r="B139" t="s">
        <v>584</v>
      </c>
      <c r="C139" s="146"/>
      <c r="D139" s="159">
        <f>D138^(1/D135)-1</f>
        <v>-0.16726034072060514</v>
      </c>
      <c r="E139" s="159">
        <f>E138^(1/E135)-1</f>
        <v>0.0639589337510329</v>
      </c>
      <c r="F139" s="159">
        <f>F138^(1/F135)-1</f>
        <v>0.1451331356778207</v>
      </c>
      <c r="G139" s="159">
        <f>G138^(1/G135)-1</f>
        <v>0.18079981553214886</v>
      </c>
      <c r="H139" s="159">
        <f>H138^(1/H135)-1</f>
        <v>0.19651291965289674</v>
      </c>
    </row>
    <row r="140">
      <c r="C140" s="146"/>
      <c r="D140" s="146"/>
      <c r="E140" s="146"/>
      <c r="F140" s="146"/>
      <c r="G140" s="146"/>
      <c r="H140" s="146"/>
    </row>
    <row r="141">
      <c r="B141" t="s" s="125">
        <v>744</v>
      </c>
      <c r="C141" s="134"/>
      <c r="D141" s="134"/>
      <c r="E141" s="134"/>
      <c r="F141" s="134"/>
      <c r="G141" s="134"/>
      <c r="H141" s="134"/>
      <c r="I141" s="125"/>
      <c r="J141" s="125"/>
    </row>
    <row r="142">
      <c r="B142" t="s">
        <v>745</v>
      </c>
      <c r="C142" s="281">
        <v>18</v>
      </c>
      <c r="D142" s="281">
        <v>22</v>
      </c>
      <c r="E142" s="281">
        <v>26</v>
      </c>
      <c r="F142" s="146"/>
      <c r="G142" s="146"/>
      <c r="H142" s="146"/>
    </row>
    <row r="143">
      <c r="B143" t="s">
        <v>746</v>
      </c>
      <c r="C143" s="240">
        <f>C142*$H$82</f>
        <v>13914</v>
      </c>
      <c r="D143" s="240">
        <f>D142*$H$82</f>
        <v>17006</v>
      </c>
      <c r="E143" s="240">
        <f>E142*$H$82</f>
        <v>20098</v>
      </c>
      <c r="F143" s="146"/>
      <c r="G143" s="146"/>
      <c r="H143" s="146"/>
    </row>
    <row r="144">
      <c r="B144" t="s">
        <v>566</v>
      </c>
      <c r="C144" s="240">
        <f>$H$133</f>
        <v>1237.398950288221</v>
      </c>
      <c r="D144" s="240">
        <f>$H$133</f>
        <v>1237.398950288221</v>
      </c>
      <c r="E144" s="240">
        <f>$H$133</f>
        <v>1237.398950288221</v>
      </c>
      <c r="F144" s="146"/>
      <c r="G144" s="146"/>
      <c r="H144" s="146"/>
    </row>
    <row r="145">
      <c r="B145" t="s">
        <v>567</v>
      </c>
      <c r="C145" s="240">
        <f>C143-C144</f>
        <v>12676.601049711779</v>
      </c>
      <c r="D145" s="240">
        <f>D143-D144</f>
        <v>15768.601049711779</v>
      </c>
      <c r="E145" s="240">
        <f>E143-E144</f>
        <v>18860.60104971178</v>
      </c>
      <c r="F145" s="146"/>
      <c r="G145" s="146"/>
      <c r="H145" s="146"/>
    </row>
    <row r="146">
      <c r="B146" t="s">
        <v>747</v>
      </c>
      <c r="C146" s="240">
        <f>$C$136</f>
        <v>6132.208565770001</v>
      </c>
      <c r="D146" s="240">
        <f>$C$136</f>
        <v>6132.208565770001</v>
      </c>
      <c r="E146" s="240">
        <f>$C$136</f>
        <v>6132.208565770001</v>
      </c>
      <c r="F146" s="146"/>
      <c r="G146" s="146"/>
      <c r="H146" s="146"/>
    </row>
    <row r="147">
      <c r="B147" t="s">
        <v>582</v>
      </c>
      <c r="C147" s="240">
        <f>C145-$C$45*MAX(0,C145-C146)</f>
        <v>12185.771613416146</v>
      </c>
      <c r="D147" s="240">
        <f>D145-$C$45*MAX(0,D145-D146)</f>
        <v>15045.871613416146</v>
      </c>
      <c r="E147" s="240">
        <f>E145-$C$45*MAX(0,E145-E146)</f>
        <v>17905.971613416146</v>
      </c>
      <c r="F147" s="146"/>
      <c r="G147" s="146"/>
      <c r="H147" s="146"/>
    </row>
    <row r="148">
      <c r="B148" t="s" s="23">
        <v>583</v>
      </c>
      <c r="C148" s="279">
        <f>C147/C146</f>
        <v>1.9871750092515026</v>
      </c>
      <c r="D148" s="279">
        <f>D147/D146</f>
        <v>2.453581193797326</v>
      </c>
      <c r="E148" s="279">
        <f>E147/E146</f>
        <v>2.919987378343149</v>
      </c>
      <c r="F148" s="146"/>
      <c r="G148" s="146"/>
      <c r="H148" s="146"/>
    </row>
    <row r="149">
      <c r="B149" t="s" s="23">
        <v>584</v>
      </c>
      <c r="C149" s="183">
        <f>C148^(1/$H$135)-1</f>
        <v>0.14713507190215913</v>
      </c>
      <c r="D149" s="183">
        <f>D148^(1/$H$135)-1</f>
        <v>0.19651291965289674</v>
      </c>
      <c r="E149" s="183">
        <f>E148^(1/$H$135)-1</f>
        <v>0.2388685330607927</v>
      </c>
      <c r="F149" s="146"/>
      <c r="G149" s="146"/>
      <c r="H149" s="146"/>
    </row>
    <row r="150">
      <c r="C150" s="146"/>
      <c r="D150" s="146"/>
      <c r="E150" s="146"/>
      <c r="F150" s="146"/>
      <c r="G150" s="146"/>
      <c r="H150" s="146"/>
    </row>
    <row r="151">
      <c r="B151" t="s" s="125">
        <v>748</v>
      </c>
      <c r="C151" s="134"/>
      <c r="D151" s="134"/>
      <c r="E151" s="134"/>
      <c r="F151" s="134"/>
      <c r="G151" s="134"/>
      <c r="H151" s="134"/>
      <c r="I151" s="125"/>
      <c r="J151" s="125"/>
    </row>
    <row r="152">
      <c r="B152" t="s">
        <v>570</v>
      </c>
      <c r="C152" s="267">
        <v>0.2</v>
      </c>
      <c r="D152" s="267">
        <v>0.225</v>
      </c>
      <c r="E152" s="267">
        <v>0.25</v>
      </c>
      <c r="F152" s="146"/>
      <c r="G152" s="146"/>
      <c r="H152" s="146"/>
    </row>
    <row r="153">
      <c r="B153" t="str">
        <f>"At "&amp;TEXT($C$142,"0.0")&amp;"x LTM exit"</f>
        <v>At 18.0x LTM exit</v>
      </c>
      <c r="C153" s="149">
        <f>(($C$145*(1-$C$45)/((1+C$152)^$H$135-$C$45))+$C$74+$C$53*$C$54-$C$55)/($C$51+$C$53)</f>
        <v>20.477031649075176</v>
      </c>
      <c r="D153" s="149">
        <f>(($C$145*(1-$C$45)/((1+D$152)^$H$135-$C$45))+$C$74+$C$53*$C$54-$C$55)/($C$51+$C$53)</f>
        <v>18.915185141104864</v>
      </c>
      <c r="E153" s="149">
        <f>(($C$145*(1-$C$45)/((1+E$152)^$H$135-$C$45))+$C$74+$C$53*$C$54-$C$55)/($C$51+$C$53)</f>
        <v>17.541346684826987</v>
      </c>
      <c r="F153" s="146"/>
      <c r="G153" s="146"/>
      <c r="H153" s="146"/>
    </row>
    <row r="154">
      <c r="B154" t="str">
        <f>"At "&amp;TEXT($D$142,"0.0")&amp;"x LTM exit"</f>
        <v>At 22.0x LTM exit</v>
      </c>
      <c r="C154" s="149">
        <f>(($D$145*(1-$C$45)/((1+C$152)^$H$135-$C$45))+$C$74+$C$53*$C$54-$C$55)/($C$51+$C$53)</f>
        <v>24.25828578521977</v>
      </c>
      <c r="D154" s="149">
        <f>(($D$145*(1-$C$45)/((1+D$152)^$H$135-$C$45))+$C$74+$C$53*$C$54-$C$55)/($C$51+$C$53)</f>
        <v>22.31548310581942</v>
      </c>
      <c r="E154" s="149">
        <f>(($D$145*(1-$C$45)/((1+E$152)^$H$135-$C$45))+$C$74+$C$53*$C$54-$C$55)/($C$51+$C$53)</f>
        <v>20.606546267084536</v>
      </c>
      <c r="F154" s="146"/>
      <c r="G154" s="146"/>
      <c r="H154" s="146"/>
    </row>
    <row r="155">
      <c r="B155" t="str">
        <f>"At "&amp;TEXT($E$142,"0.0")&amp;"x LTM exit"</f>
        <v>At 26.0x LTM exit</v>
      </c>
      <c r="C155" s="149">
        <f>(($E$145*(1-$C$45)/((1+C$152)^$H$135-$C$45))+$C$74+$C$53*$C$54-$C$55)/($C$51+$C$53)</f>
        <v>28.039539921364366</v>
      </c>
      <c r="D155" s="149">
        <f>(($E$145*(1-$C$45)/((1+D$152)^$H$135-$C$45))+$C$74+$C$53*$C$54-$C$55)/($C$51+$C$53)</f>
        <v>25.715781070533975</v>
      </c>
      <c r="E155" s="149">
        <f>(($E$145*(1-$C$45)/((1+E$152)^$H$135-$C$45))+$C$74+$C$53*$C$54-$C$55)/($C$51+$C$53)</f>
        <v>23.671745849342084</v>
      </c>
      <c r="F155" s="146"/>
      <c r="G155" s="146"/>
      <c r="H155" s="146"/>
    </row>
    <row r="156">
      <c r="C156" s="146"/>
      <c r="D156" s="146"/>
      <c r="E156" s="146"/>
      <c r="F156" s="146"/>
      <c r="G156" s="146"/>
      <c r="H156" s="146"/>
    </row>
    <row r="157">
      <c r="B157" t="s">
        <v>749</v>
      </c>
      <c r="C157" s="147">
        <f>$H$134*(1-$C$45)/((1+$C$50)^$H$135-$C$45)</f>
        <v>5432.22086957831</v>
      </c>
      <c r="D157" s="146"/>
      <c r="E157" s="146"/>
      <c r="F157" s="146"/>
      <c r="G157" s="146"/>
      <c r="H157" s="146"/>
    </row>
    <row r="158">
      <c r="B158" t="s">
        <v>575</v>
      </c>
      <c r="C158" s="147">
        <f>C157+$C$74</f>
        <v>6938.27823857831</v>
      </c>
      <c r="D158" s="146"/>
      <c r="E158" s="146"/>
      <c r="F158" s="146"/>
      <c r="G158" s="146"/>
      <c r="H158" s="146"/>
    </row>
    <row r="159">
      <c r="B159" t="s">
        <v>750</v>
      </c>
      <c r="C159" s="149">
        <f>(C158+$C$53*$C$54-$C$55)/($C$51+$C$53)</f>
        <v>22.31548310581942</v>
      </c>
      <c r="D159" s="146"/>
      <c r="E159" s="146"/>
      <c r="F159" s="146"/>
      <c r="G159" s="146"/>
      <c r="H159" s="146"/>
    </row>
    <row r="160">
      <c r="B160" t="s" s="23">
        <v>751</v>
      </c>
      <c r="C160" s="180">
        <f>(($H$134*(1-$C$45)/((1+$E$152)^$H$135-$C$45))+$C$74+$C$53*$C$54-$C$55)/($C$51+$C$53)</f>
        <v>20.606546267084536</v>
      </c>
      <c r="D160" s="146"/>
      <c r="E160" s="146"/>
      <c r="F160" s="146"/>
      <c r="G160" s="146"/>
      <c r="H160" s="146"/>
    </row>
    <row r="161">
      <c r="B161" t="s" s="23">
        <v>752</v>
      </c>
      <c r="C161" s="180">
        <f>(($H$134*(1-$C$45)/((1+$C$152)^$H$135-$C$45))+$C$74+$C$53*$C$54-$C$55)/($C$51+$C$53)</f>
        <v>24.25828578521977</v>
      </c>
      <c r="D161" s="146"/>
      <c r="E161" s="146"/>
      <c r="F161" s="146"/>
      <c r="G161" s="146"/>
      <c r="H161" s="146"/>
    </row>
    <row r="162">
      <c r="B162" t="s">
        <v>753</v>
      </c>
      <c r="C162" s="148">
        <f>(($C$136*((1+$C$152)^$H$135-$C$45)/(1-$C$45))+$H$133)/$H$131</f>
        <v>22.308589906181407</v>
      </c>
      <c r="D162" s="146"/>
      <c r="E162" s="146"/>
      <c r="F162" s="146"/>
      <c r="G162" s="146"/>
      <c r="H162" s="146"/>
    </row>
    <row r="163">
      <c r="B163" t="s">
        <v>754</v>
      </c>
      <c r="C163" s="148">
        <f>(($C$136*((1+$E$152)^$H$135-$C$45)/(1-$C$45))+$H$133)/$H$131</f>
        <v>27.146097181719014</v>
      </c>
      <c r="D163" s="146"/>
      <c r="E163" s="146"/>
      <c r="F163" s="146"/>
      <c r="G163" s="146"/>
      <c r="H163" s="146"/>
    </row>
    <row r="164">
      <c r="C164" s="146"/>
      <c r="D164" s="146"/>
      <c r="E164" s="146"/>
      <c r="F164" s="146"/>
      <c r="G164" s="146"/>
      <c r="H164" s="146"/>
    </row>
    <row r="165">
      <c r="B165" t="s" s="125">
        <v>755</v>
      </c>
      <c r="C165" s="134"/>
      <c r="D165" s="134"/>
      <c r="E165" s="134"/>
      <c r="F165" s="134"/>
      <c r="G165" s="134"/>
      <c r="H165" s="134"/>
      <c r="I165" s="125"/>
      <c r="J165" s="125"/>
    </row>
    <row r="166">
      <c r="B166" t="s">
        <v>588</v>
      </c>
      <c r="C166" s="251">
        <f>C6</f>
        <v>46022</v>
      </c>
      <c r="D166" s="251">
        <f>C7</f>
        <v>47848</v>
      </c>
      <c r="E166" s="146"/>
      <c r="F166" s="146"/>
      <c r="G166" s="146"/>
      <c r="H166" s="146"/>
    </row>
    <row r="167">
      <c r="B167" t="s">
        <v>589</v>
      </c>
      <c r="C167" s="240">
        <f>-C157</f>
        <v>-5432.22086957831</v>
      </c>
      <c r="D167" s="240">
        <f>H134-$C$45*MAX(0,H134-C157)</f>
        <v>14993.372536201769</v>
      </c>
      <c r="E167" s="146"/>
      <c r="F167" s="146"/>
      <c r="G167" s="146"/>
      <c r="H167" s="146"/>
    </row>
    <row r="168">
      <c r="B168" t="s">
        <v>590</v>
      </c>
      <c r="C168" s="259">
        <f>XIRR(C167:D167,C166:D166)</f>
        <v>0.22499999403953552</v>
      </c>
      <c r="D168" s="146"/>
      <c r="E168" s="146"/>
      <c r="F168" s="146"/>
      <c r="G168" s="146"/>
      <c r="H168" s="146"/>
    </row>
    <row r="169">
      <c r="B169" t="s">
        <v>570</v>
      </c>
      <c r="C169" s="259">
        <f>C50</f>
        <v>0.225</v>
      </c>
      <c r="D169" s="146"/>
      <c r="E169" s="146"/>
      <c r="F169" s="146"/>
      <c r="G169" s="146"/>
      <c r="H169" s="146"/>
    </row>
    <row r="170">
      <c r="B170" t="s">
        <v>431</v>
      </c>
      <c r="C170" s="259">
        <f>C168-C169</f>
        <v>-0.000000005960464483090178</v>
      </c>
      <c r="D170" s="146"/>
      <c r="E170" s="146"/>
      <c r="F170" s="146"/>
      <c r="G170" s="146"/>
      <c r="H170" s="146"/>
    </row>
    <row r="171">
      <c r="C171" s="146"/>
      <c r="D171" s="146"/>
      <c r="E171" s="146"/>
      <c r="F171" s="146"/>
      <c r="G171" s="146"/>
      <c r="H171" s="146"/>
    </row>
    <row r="172">
      <c r="B172" t="s" s="125">
        <v>756</v>
      </c>
      <c r="C172" s="134"/>
      <c r="D172" s="134"/>
      <c r="E172" s="134"/>
      <c r="F172" s="134"/>
      <c r="G172" s="134"/>
      <c r="H172" s="134"/>
      <c r="I172" s="125"/>
      <c r="J172" s="125"/>
    </row>
    <row r="173">
      <c r="B173" t="s">
        <v>757</v>
      </c>
      <c r="C173" s="158">
        <f>H139</f>
        <v>0.19651291965289674</v>
      </c>
      <c r="D173" s="282">
        <v>0</v>
      </c>
      <c r="E173" s="282">
        <v>32</v>
      </c>
      <c r="F173" s="282">
        <v>127</v>
      </c>
      <c r="G173" s="146"/>
      <c r="H173" s="146"/>
    </row>
    <row r="174">
      <c r="C174" s="268">
        <v>16</v>
      </c>
      <c r="D174" s="167">
        <f t="dataTable" ref="D174:F180" dt2D="1" dtr="1" r1="C44" r2="C49"/>
        <v>0.1223264186388251</v>
      </c>
      <c r="E174" s="167">
        <v>0.11886528585980916</v>
      </c>
      <c r="F174" s="167">
        <v>0.10814708153831387</v>
      </c>
      <c r="G174" s="146"/>
      <c r="H174" s="146"/>
    </row>
    <row r="175">
      <c r="C175" s="268">
        <v>18</v>
      </c>
      <c r="D175" s="167">
        <v>0.15026947868179907</v>
      </c>
      <c r="E175" s="167">
        <v>0.14713507190215913</v>
      </c>
      <c r="F175" s="167">
        <v>0.13745783394792577</v>
      </c>
      <c r="G175" s="146"/>
      <c r="H175" s="146"/>
    </row>
    <row r="176">
      <c r="C176" s="268">
        <v>20</v>
      </c>
      <c r="D176" s="167">
        <v>0.17573318541228788</v>
      </c>
      <c r="E176" s="167">
        <v>0.17286342496550366</v>
      </c>
      <c r="F176" s="167">
        <v>0.1640242527519138</v>
      </c>
      <c r="G176" s="146"/>
      <c r="H176" s="146"/>
    </row>
    <row r="177">
      <c r="C177" s="268">
        <v>22</v>
      </c>
      <c r="D177" s="167">
        <v>0.19916351444017288</v>
      </c>
      <c r="E177" s="283">
        <v>0.19651291965289674</v>
      </c>
      <c r="F177" s="167">
        <v>0.18836443495955235</v>
      </c>
      <c r="G177" s="146"/>
      <c r="H177" s="146"/>
    </row>
    <row r="178">
      <c r="C178" s="268">
        <v>24</v>
      </c>
      <c r="D178" s="167">
        <v>0.22089290014655294</v>
      </c>
      <c r="E178" s="167">
        <v>0.21842709032502183</v>
      </c>
      <c r="F178" s="167">
        <v>0.21085864967750845</v>
      </c>
      <c r="G178" s="146"/>
      <c r="H178" s="146"/>
    </row>
    <row r="179">
      <c r="C179" s="268">
        <v>26</v>
      </c>
      <c r="D179" s="167">
        <v>0.24117622078964862</v>
      </c>
      <c r="E179" s="167">
        <v>0.2388685330607927</v>
      </c>
      <c r="F179" s="167">
        <v>0.23179481510555733</v>
      </c>
      <c r="G179" s="146"/>
      <c r="H179" s="146"/>
    </row>
    <row r="180">
      <c r="C180" s="268">
        <v>28</v>
      </c>
      <c r="D180" s="167">
        <v>0.260213478701639</v>
      </c>
      <c r="E180" s="167">
        <v>0.2580427910732688</v>
      </c>
      <c r="F180" s="167">
        <v>0.25139652477709395</v>
      </c>
      <c r="G180" s="146"/>
      <c r="H180" s="146"/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116af95015fa90ead431bc73e372b84fc7a7c9a251e974a5366f47e54d73cb73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2026-10-20T23:30:35Z</dcterms:created>
  <dcterms:modified xsi:type="dcterms:W3CDTF">2026-10-20T23:30:36Z</dcterms:modified>
  <cp:category/>
  <cp:contentStatus/>
</cp:coreProperties>
</file>